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 hidePivotFieldList="1"/>
  <mc:AlternateContent xmlns:mc="http://schemas.openxmlformats.org/markup-compatibility/2006">
    <mc:Choice Requires="x15">
      <x15ac:absPath xmlns:x15ac="http://schemas.microsoft.com/office/spreadsheetml/2010/11/ac" url="/Users/sam/Documents/Travel/2016-04 Colombian Adventure/Emissions accounting/"/>
    </mc:Choice>
  </mc:AlternateContent>
  <bookViews>
    <workbookView xWindow="1060" yWindow="460" windowWidth="27740" windowHeight="17540" tabRatio="500" activeTab="3"/>
  </bookViews>
  <sheets>
    <sheet name="Detailed" sheetId="1" r:id="rId1"/>
    <sheet name="Scenarios" sheetId="2" r:id="rId2"/>
    <sheet name="Charts" sheetId="3" r:id="rId3"/>
    <sheet name="Charts - Detailed" sheetId="5" r:id="rId4"/>
  </sheets>
  <definedNames>
    <definedName name="_xlnm._FilterDatabase" localSheetId="0" hidden="1">Detailed!$A$1:$O$105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4" i="5" l="1"/>
  <c r="J69" i="5"/>
  <c r="I64" i="5"/>
  <c r="I69" i="5"/>
  <c r="H69" i="5"/>
  <c r="G64" i="5"/>
  <c r="G65" i="5"/>
  <c r="G68" i="5"/>
  <c r="G69" i="5"/>
  <c r="J53" i="5"/>
  <c r="J58" i="5"/>
  <c r="I53" i="5"/>
  <c r="I58" i="5"/>
  <c r="H58" i="5"/>
  <c r="H47" i="5"/>
  <c r="G53" i="5"/>
  <c r="G54" i="5"/>
  <c r="G57" i="5"/>
  <c r="G58" i="5"/>
  <c r="J42" i="5"/>
  <c r="J47" i="5"/>
  <c r="I42" i="5"/>
  <c r="I47" i="5"/>
  <c r="G42" i="5"/>
  <c r="G43" i="5"/>
  <c r="G46" i="5"/>
  <c r="G47" i="5"/>
  <c r="C49" i="5"/>
  <c r="D49" i="5"/>
  <c r="B49" i="5"/>
  <c r="D44" i="5"/>
  <c r="C44" i="5"/>
  <c r="B44" i="5"/>
  <c r="B54" i="5"/>
  <c r="D54" i="5"/>
  <c r="C54" i="5"/>
  <c r="C59" i="5"/>
  <c r="D59" i="5"/>
  <c r="B59" i="5"/>
  <c r="B39" i="5"/>
  <c r="D35" i="5"/>
  <c r="B35" i="5"/>
  <c r="C35" i="5"/>
  <c r="D38" i="5"/>
  <c r="B38" i="5"/>
  <c r="C38" i="5"/>
  <c r="D34" i="5"/>
  <c r="B34" i="5"/>
  <c r="C34" i="5"/>
  <c r="D39" i="5"/>
  <c r="C39" i="5"/>
  <c r="D29" i="5"/>
  <c r="C29" i="5"/>
  <c r="B29" i="5"/>
  <c r="E6" i="5"/>
  <c r="D6" i="5"/>
  <c r="C6" i="5"/>
  <c r="B6" i="5"/>
  <c r="E5" i="5"/>
  <c r="D5" i="5"/>
  <c r="C5" i="5"/>
  <c r="B5" i="5"/>
  <c r="E4" i="5"/>
  <c r="D4" i="5"/>
  <c r="C4" i="5"/>
  <c r="B4" i="5"/>
  <c r="E3" i="5"/>
  <c r="D3" i="5"/>
  <c r="C3" i="5"/>
  <c r="B3" i="5"/>
  <c r="E2" i="5"/>
  <c r="D2" i="5"/>
  <c r="C2" i="5"/>
  <c r="B2" i="5"/>
  <c r="E6" i="3"/>
  <c r="E5" i="3"/>
  <c r="E4" i="3"/>
  <c r="E3" i="3"/>
  <c r="D6" i="3"/>
  <c r="D5" i="3"/>
  <c r="D4" i="3"/>
  <c r="D3" i="3"/>
  <c r="C6" i="3"/>
  <c r="C5" i="3"/>
  <c r="C4" i="3"/>
  <c r="C3" i="3"/>
  <c r="C2" i="3"/>
  <c r="E2" i="3"/>
  <c r="D2" i="3"/>
  <c r="B6" i="3"/>
  <c r="B5" i="3"/>
  <c r="B4" i="3"/>
  <c r="B3" i="3"/>
  <c r="B2" i="3"/>
  <c r="D8" i="2"/>
  <c r="E8" i="2"/>
  <c r="H8" i="2"/>
  <c r="F8" i="2"/>
  <c r="G8" i="2"/>
  <c r="H7" i="2"/>
  <c r="G7" i="2"/>
  <c r="H6" i="2"/>
  <c r="G6" i="2"/>
  <c r="H5" i="2"/>
  <c r="G5" i="2"/>
  <c r="H4" i="2"/>
  <c r="G4" i="2"/>
  <c r="H3" i="2"/>
  <c r="G3" i="2"/>
  <c r="H32" i="2"/>
  <c r="H24" i="2"/>
  <c r="H16" i="2"/>
  <c r="G32" i="2"/>
  <c r="G24" i="2"/>
  <c r="G16" i="2"/>
  <c r="F32" i="2"/>
  <c r="F24" i="2"/>
  <c r="F16" i="2"/>
  <c r="E32" i="2"/>
  <c r="E24" i="2"/>
  <c r="E16" i="2"/>
  <c r="D32" i="2"/>
  <c r="D24" i="2"/>
  <c r="D16" i="2"/>
  <c r="H31" i="2"/>
  <c r="H30" i="2"/>
  <c r="H28" i="2"/>
  <c r="H27" i="2"/>
  <c r="H19" i="2"/>
  <c r="H20" i="2"/>
  <c r="H22" i="2"/>
  <c r="D29" i="2"/>
  <c r="D21" i="2"/>
  <c r="G19" i="2"/>
  <c r="F21" i="2"/>
  <c r="F22" i="2"/>
  <c r="F20" i="2"/>
  <c r="F28" i="2"/>
  <c r="F29" i="2"/>
  <c r="F30" i="2"/>
  <c r="F31" i="2"/>
  <c r="F27" i="2"/>
  <c r="H23" i="2"/>
  <c r="G23" i="2"/>
  <c r="G12" i="2"/>
  <c r="H12" i="2"/>
  <c r="G13" i="2"/>
  <c r="H13" i="2"/>
  <c r="G14" i="2"/>
  <c r="H14" i="2"/>
  <c r="G15" i="2"/>
  <c r="H15" i="2"/>
  <c r="H11" i="2"/>
  <c r="G11" i="2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2" i="1"/>
  <c r="I61" i="1"/>
  <c r="I47" i="1"/>
  <c r="I15" i="1"/>
  <c r="I56" i="1"/>
  <c r="I58" i="1"/>
  <c r="I19" i="1"/>
  <c r="I18" i="1"/>
  <c r="I13" i="1"/>
  <c r="I9" i="1"/>
  <c r="I8" i="1"/>
  <c r="I7" i="1"/>
  <c r="I54" i="1"/>
  <c r="I53" i="1"/>
  <c r="I51" i="1"/>
  <c r="I50" i="1"/>
  <c r="I49" i="1"/>
  <c r="I48" i="1"/>
  <c r="I44" i="1"/>
  <c r="I41" i="1"/>
  <c r="I39" i="1"/>
  <c r="I36" i="1"/>
  <c r="I35" i="1"/>
  <c r="I33" i="1"/>
  <c r="I17" i="1"/>
  <c r="I16" i="1"/>
  <c r="I12" i="1"/>
  <c r="I11" i="1"/>
  <c r="I10" i="1"/>
  <c r="L30" i="1"/>
  <c r="L29" i="1"/>
  <c r="L28" i="1"/>
  <c r="B31" i="1"/>
  <c r="I3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I14" i="1"/>
  <c r="K14" i="1"/>
  <c r="L14" i="1"/>
  <c r="K15" i="1"/>
  <c r="L15" i="1"/>
  <c r="K16" i="1"/>
  <c r="L16" i="1"/>
  <c r="K17" i="1"/>
  <c r="L17" i="1"/>
  <c r="K18" i="1"/>
  <c r="L18" i="1"/>
  <c r="K19" i="1"/>
  <c r="L19" i="1"/>
  <c r="I20" i="1"/>
  <c r="K20" i="1"/>
  <c r="L20" i="1"/>
  <c r="I21" i="1"/>
  <c r="K21" i="1"/>
  <c r="L21" i="1"/>
  <c r="I22" i="1"/>
  <c r="K22" i="1"/>
  <c r="L22" i="1"/>
  <c r="I23" i="1"/>
  <c r="K23" i="1"/>
  <c r="L23" i="1"/>
  <c r="I24" i="1"/>
  <c r="K24" i="1"/>
  <c r="L24" i="1"/>
  <c r="L25" i="1"/>
  <c r="I26" i="1"/>
  <c r="K26" i="1"/>
  <c r="L26" i="1"/>
  <c r="L27" i="1"/>
  <c r="I31" i="1"/>
  <c r="K31" i="1"/>
  <c r="L31" i="1"/>
  <c r="L32" i="1"/>
  <c r="K33" i="1"/>
  <c r="L33" i="1"/>
  <c r="L34" i="1"/>
  <c r="K35" i="1"/>
  <c r="L35" i="1"/>
  <c r="K36" i="1"/>
  <c r="L36" i="1"/>
  <c r="I37" i="1"/>
  <c r="K37" i="1"/>
  <c r="L37" i="1"/>
  <c r="I38" i="1"/>
  <c r="K38" i="1"/>
  <c r="L38" i="1"/>
  <c r="K39" i="1"/>
  <c r="L39" i="1"/>
  <c r="L40" i="1"/>
  <c r="K41" i="1"/>
  <c r="L41" i="1"/>
  <c r="I42" i="1"/>
  <c r="K42" i="1"/>
  <c r="L42" i="1"/>
  <c r="I43" i="1"/>
  <c r="K43" i="1"/>
  <c r="L43" i="1"/>
  <c r="K44" i="1"/>
  <c r="L44" i="1"/>
  <c r="L45" i="1"/>
  <c r="I46" i="1"/>
  <c r="K46" i="1"/>
  <c r="L46" i="1"/>
  <c r="K47" i="1"/>
  <c r="L47" i="1"/>
  <c r="K48" i="1"/>
  <c r="L48" i="1"/>
  <c r="K49" i="1"/>
  <c r="L49" i="1"/>
  <c r="K50" i="1"/>
  <c r="L50" i="1"/>
  <c r="K51" i="1"/>
  <c r="L51" i="1"/>
  <c r="I52" i="1"/>
  <c r="K52" i="1"/>
  <c r="L52" i="1"/>
  <c r="K53" i="1"/>
  <c r="L53" i="1"/>
  <c r="K54" i="1"/>
  <c r="L54" i="1"/>
  <c r="K55" i="1"/>
  <c r="L55" i="1"/>
  <c r="K56" i="1"/>
  <c r="L56" i="1"/>
  <c r="I57" i="1"/>
  <c r="K57" i="1"/>
  <c r="L57" i="1"/>
  <c r="K58" i="1"/>
  <c r="L58" i="1"/>
  <c r="K59" i="1"/>
  <c r="L59" i="1"/>
  <c r="K60" i="1"/>
  <c r="L60" i="1"/>
  <c r="K61" i="1"/>
  <c r="L61" i="1"/>
  <c r="L62" i="1"/>
  <c r="L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32" i="1"/>
  <c r="B3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33" i="1"/>
  <c r="B34" i="1"/>
  <c r="B35" i="1"/>
  <c r="B36" i="1"/>
  <c r="B37" i="1"/>
  <c r="B38" i="1"/>
  <c r="B39" i="1"/>
  <c r="B40" i="1"/>
  <c r="B41" i="1"/>
  <c r="B42" i="1"/>
  <c r="B43" i="1"/>
  <c r="B44" i="1"/>
</calcChain>
</file>

<file path=xl/sharedStrings.xml><?xml version="1.0" encoding="utf-8"?>
<sst xmlns="http://schemas.openxmlformats.org/spreadsheetml/2006/main" count="489" uniqueCount="132">
  <si>
    <t>From</t>
  </si>
  <si>
    <t>To</t>
  </si>
  <si>
    <t>Distance (km)</t>
  </si>
  <si>
    <t>Kitchener</t>
  </si>
  <si>
    <t>Sarnia</t>
  </si>
  <si>
    <t>Train</t>
  </si>
  <si>
    <t>http://www.viarail.ca/en/plan-your-trip/compare-train-plane-car</t>
  </si>
  <si>
    <t>Port Huron</t>
  </si>
  <si>
    <t>Taxi</t>
  </si>
  <si>
    <t>Chicago</t>
  </si>
  <si>
    <t>https://carbonfund.org/how-we-calculate/</t>
  </si>
  <si>
    <t>New Orleans</t>
  </si>
  <si>
    <t>San Antonio</t>
  </si>
  <si>
    <t>Monterrey</t>
  </si>
  <si>
    <t>Mexico City</t>
  </si>
  <si>
    <t>San Cristobal</t>
  </si>
  <si>
    <t>La Mesilla</t>
  </si>
  <si>
    <t>Antigua</t>
  </si>
  <si>
    <t>Guatemala City</t>
  </si>
  <si>
    <t>San Salvador</t>
  </si>
  <si>
    <t>San Salvador Bus Terminal</t>
  </si>
  <si>
    <t>La Libertad</t>
  </si>
  <si>
    <t>El Tunco</t>
  </si>
  <si>
    <t>San Jose</t>
  </si>
  <si>
    <t>Panama City</t>
  </si>
  <si>
    <t>Carti</t>
  </si>
  <si>
    <t>Carti Sugdub</t>
  </si>
  <si>
    <t>Puerto Obaldia</t>
  </si>
  <si>
    <t>Capurgana</t>
  </si>
  <si>
    <t>Sapzurro</t>
  </si>
  <si>
    <t>Necocli</t>
  </si>
  <si>
    <t>Venecia turnoff</t>
  </si>
  <si>
    <t>La Pintada turnoff</t>
  </si>
  <si>
    <t>Filandia</t>
  </si>
  <si>
    <t>Salento turnoff</t>
  </si>
  <si>
    <t>Salento</t>
  </si>
  <si>
    <t>Valle de Cocora</t>
  </si>
  <si>
    <t>Lobo Guerrero</t>
  </si>
  <si>
    <t>Cordoba</t>
  </si>
  <si>
    <t>San Cipriano</t>
  </si>
  <si>
    <t>Cali</t>
  </si>
  <si>
    <t>Piendamo</t>
  </si>
  <si>
    <t>Silvia</t>
  </si>
  <si>
    <t>Popayan</t>
  </si>
  <si>
    <t>Neiva</t>
  </si>
  <si>
    <t>Villavieja</t>
  </si>
  <si>
    <t>Bogota</t>
  </si>
  <si>
    <t>Puerto Vallarta</t>
  </si>
  <si>
    <t>Guadalajara</t>
  </si>
  <si>
    <t>Detroit</t>
  </si>
  <si>
    <t>Windsor</t>
  </si>
  <si>
    <t>Coach Bus</t>
  </si>
  <si>
    <t>Minibus</t>
  </si>
  <si>
    <t>School Bus</t>
  </si>
  <si>
    <t>SUV</t>
  </si>
  <si>
    <t>Lancha (1 motor)</t>
  </si>
  <si>
    <t>Lancha (2 x 75hp motors)</t>
  </si>
  <si>
    <t>Lancha (2 x 200hp motors)</t>
  </si>
  <si>
    <t>Walking</t>
  </si>
  <si>
    <t>Lancha (2 x 300hp motors)</t>
  </si>
  <si>
    <t>Cycling</t>
  </si>
  <si>
    <t>Transport truck</t>
  </si>
  <si>
    <t>Jeep</t>
  </si>
  <si>
    <t>Motorcycle</t>
  </si>
  <si>
    <t>City Bus</t>
  </si>
  <si>
    <t>Pickup Truck</t>
  </si>
  <si>
    <t>Airplane</t>
  </si>
  <si>
    <t>Car (Sedan)</t>
  </si>
  <si>
    <t>DEFRA p. 40, "Coach"</t>
  </si>
  <si>
    <t>Distance</t>
  </si>
  <si>
    <t>http://www.nextgreencar.com/emissions-calculator/ford/transit-minibus ("aggressive" driving setting)</t>
  </si>
  <si>
    <t>DEFRA p. 40, "Local bus (not london)"</t>
  </si>
  <si>
    <t>DEFRA p. 36, "Petrol - Dual Purpose"</t>
  </si>
  <si>
    <t>DEFRA p. 36, "Petrol - Upper Medium"</t>
  </si>
  <si>
    <t>DEFRA spreadsheet "Passenger vehicles - motorbike - large"</t>
  </si>
  <si>
    <t>DEFRA spreadsheet "Business travel-land, taxis, black cab"</t>
  </si>
  <si>
    <t>DEFRA spreadsheet "Freighting goods, HGV (all diesel), All rigids)"</t>
  </si>
  <si>
    <t>DEFRA spreadsheet "Business travel-air, Flights, International to/from non-UK, Economy class, with RF"</t>
  </si>
  <si>
    <t>DEFRA spreadsheet "Business travel-land, motorbike, large"</t>
  </si>
  <si>
    <t>DEFRA spreadsheet "Business travel-land, motorbike, large" (x2 for two motors)</t>
  </si>
  <si>
    <t>kg CO2e/p/km</t>
  </si>
  <si>
    <t>kg CO2e/p</t>
  </si>
  <si>
    <t>Monteria</t>
  </si>
  <si>
    <t>Medellin</t>
  </si>
  <si>
    <t>Angostura</t>
  </si>
  <si>
    <t>Train (VIA Rail)</t>
  </si>
  <si>
    <t>Train (Amtrak)</t>
  </si>
  <si>
    <t>Cost source</t>
  </si>
  <si>
    <t>Actual</t>
  </si>
  <si>
    <t>Rome2Rio</t>
  </si>
  <si>
    <t>Estimate</t>
  </si>
  <si>
    <t>Passengers</t>
  </si>
  <si>
    <t>Emissions Factor Source</t>
  </si>
  <si>
    <t>Cost per
person (CAD)</t>
  </si>
  <si>
    <t>Method</t>
  </si>
  <si>
    <t>Emissions factor
(kg CO2e/km)</t>
  </si>
  <si>
    <t>Total emissions
 kg CO2e</t>
  </si>
  <si>
    <t>Distance
(km)</t>
  </si>
  <si>
    <t>$/km</t>
  </si>
  <si>
    <t>Train, Taxi, Bus, Boat</t>
  </si>
  <si>
    <t>Bicycle, Bus, Jeep, Motorcycle</t>
  </si>
  <si>
    <t>Taxi, Bus</t>
  </si>
  <si>
    <t>Train, Bus</t>
  </si>
  <si>
    <t>Skip the hard parts</t>
  </si>
  <si>
    <t>Express</t>
  </si>
  <si>
    <t>Train, Taxi, Bus</t>
  </si>
  <si>
    <t>Toronto</t>
  </si>
  <si>
    <t>Bus</t>
  </si>
  <si>
    <t>Bogota (via Buenaventura and Cali)</t>
  </si>
  <si>
    <t>Total</t>
  </si>
  <si>
    <t>Original Plan</t>
  </si>
  <si>
    <t>Cost</t>
  </si>
  <si>
    <t>Emissions</t>
  </si>
  <si>
    <t>Emissions / km</t>
  </si>
  <si>
    <t>Cost / km</t>
  </si>
  <si>
    <t>COST</t>
  </si>
  <si>
    <t>Boat</t>
  </si>
  <si>
    <t>Cycling &amp; Walking</t>
  </si>
  <si>
    <t>Taxi/Car/Truck</t>
  </si>
  <si>
    <t>Plane</t>
  </si>
  <si>
    <t>ID</t>
  </si>
  <si>
    <t>Method Group</t>
  </si>
  <si>
    <t>Car/Taxi</t>
  </si>
  <si>
    <t>Cycling/Walking</t>
  </si>
  <si>
    <t>ACTUAL</t>
  </si>
  <si>
    <t>ORIGINAL PLAN</t>
  </si>
  <si>
    <t>SKIP THE HARD PARTS</t>
  </si>
  <si>
    <t>DIRECT FLIGHT</t>
  </si>
  <si>
    <t>DISTANCE</t>
  </si>
  <si>
    <t>EMISSIONS</t>
  </si>
  <si>
    <t>Fly Mexico - Colombia</t>
  </si>
  <si>
    <t>Direct flight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</si>
</sst>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 wrapText="1"/>
    </xf>
    <xf numFmtId="44" fontId="0" fillId="0" borderId="0" xfId="74" applyFont="1" applyAlignment="1">
      <alignment horizontal="right"/>
    </xf>
    <xf numFmtId="2" fontId="0" fillId="0" borderId="0" xfId="0" applyNumberFormat="1" applyAlignment="1">
      <alignment horizontal="right"/>
    </xf>
    <xf numFmtId="44" fontId="4" fillId="0" borderId="0" xfId="74" applyFont="1" applyAlignment="1">
      <alignment horizontal="right" wrapText="1"/>
    </xf>
    <xf numFmtId="44" fontId="0" fillId="0" borderId="0" xfId="74" applyFont="1"/>
    <xf numFmtId="2" fontId="0" fillId="0" borderId="0" xfId="0" applyNumberFormat="1"/>
    <xf numFmtId="44" fontId="0" fillId="0" borderId="0" xfId="0" applyNumberFormat="1"/>
    <xf numFmtId="44" fontId="4" fillId="0" borderId="0" xfId="74" applyFont="1"/>
    <xf numFmtId="2" fontId="4" fillId="0" borderId="0" xfId="0" applyNumberFormat="1" applyFont="1"/>
    <xf numFmtId="44" fontId="4" fillId="0" borderId="0" xfId="0" applyNumberFormat="1" applyFont="1"/>
    <xf numFmtId="43" fontId="0" fillId="0" borderId="0" xfId="73" applyFont="1"/>
    <xf numFmtId="164" fontId="0" fillId="0" borderId="0" xfId="73" applyNumberFormat="1" applyFont="1"/>
    <xf numFmtId="164" fontId="0" fillId="0" borderId="0" xfId="0" applyNumberFormat="1"/>
  </cellXfs>
  <cellStyles count="189">
    <cellStyle name="Comma" xfId="73" builtinId="3"/>
    <cellStyle name="Currency" xfId="74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Cost, Distance, and CO2e Emissions of our 2016 cycling trip to Colombia: four scenarios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Charts!$A$2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Charts!$B$1:$E$1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Skip the hard parts</c:v>
                </c:pt>
                <c:pt idx="3">
                  <c:v>Express</c:v>
                </c:pt>
              </c:strCache>
            </c:strRef>
          </c:cat>
          <c:val>
            <c:numRef>
              <c:f>Charts!$B$2:$E$2</c:f>
              <c:numCache>
                <c:formatCode>_("$"* #,##0.00_);_("$"* \(#,##0.00\);_("$"* "-"??_);_(@_)</c:formatCode>
                <c:ptCount val="4"/>
                <c:pt idx="0">
                  <c:v>2278.1</c:v>
                </c:pt>
                <c:pt idx="1">
                  <c:v>2031.19</c:v>
                </c:pt>
                <c:pt idx="2">
                  <c:v>1725.01563188</c:v>
                </c:pt>
                <c:pt idx="3">
                  <c:v>899.64563188</c:v>
                </c:pt>
              </c:numCache>
            </c:numRef>
          </c:val>
        </c:ser>
        <c:ser>
          <c:idx val="2"/>
          <c:order val="2"/>
          <c:tx>
            <c:strRef>
              <c:f>Charts!$A$4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\ &quot;kg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Charts!$B$1:$E$1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Skip the hard parts</c:v>
                </c:pt>
                <c:pt idx="3">
                  <c:v>Express</c:v>
                </c:pt>
              </c:strCache>
            </c:strRef>
          </c:cat>
          <c:val>
            <c:numRef>
              <c:f>Charts!$B$4:$E$4</c:f>
              <c:numCache>
                <c:formatCode>_(* #,##0.00_);_(* \(#,##0.00\);_(* "-"??_);_(@_)</c:formatCode>
                <c:ptCount val="4"/>
                <c:pt idx="0">
                  <c:v>695.35</c:v>
                </c:pt>
                <c:pt idx="1">
                  <c:v>1071.07</c:v>
                </c:pt>
                <c:pt idx="2">
                  <c:v>1395.513027164</c:v>
                </c:pt>
                <c:pt idx="3">
                  <c:v>1183.688866164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2098344160"/>
        <c:axId val="-2102349584"/>
      </c:barChart>
      <c:barChart>
        <c:barDir val="col"/>
        <c:grouping val="clustered"/>
        <c:varyColors val="0"/>
        <c:ser>
          <c:idx val="1"/>
          <c:order val="1"/>
          <c:tx>
            <c:strRef>
              <c:f>Charts!$A$3</c:f>
              <c:strCache>
                <c:ptCount val="1"/>
                <c:pt idx="0">
                  <c:v>Distance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numFmt formatCode="#,##0\ &quot;km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Charts!$B$3:$E$3</c:f>
              <c:numCache>
                <c:formatCode>_(* #,##0_);_(* \(#,##0\);_(* "-"??_);_(@_)</c:formatCode>
                <c:ptCount val="4"/>
                <c:pt idx="0">
                  <c:v>20649.0</c:v>
                </c:pt>
                <c:pt idx="1">
                  <c:v>19120.0</c:v>
                </c:pt>
                <c:pt idx="2">
                  <c:v>16792.0</c:v>
                </c:pt>
                <c:pt idx="3">
                  <c:v>9729.400000000001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-2099071648"/>
        <c:axId val="-2099616048"/>
      </c:barChart>
      <c:catAx>
        <c:axId val="-20983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2349584"/>
        <c:crosses val="autoZero"/>
        <c:auto val="1"/>
        <c:lblAlgn val="ctr"/>
        <c:lblOffset val="100"/>
        <c:noMultiLvlLbl val="0"/>
      </c:catAx>
      <c:valAx>
        <c:axId val="-210234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8344160"/>
        <c:crosses val="autoZero"/>
        <c:crossBetween val="between"/>
      </c:valAx>
      <c:valAx>
        <c:axId val="-2099616048"/>
        <c:scaling>
          <c:orientation val="minMax"/>
        </c:scaling>
        <c:delete val="0"/>
        <c:axPos val="r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9071648"/>
        <c:crosses val="max"/>
        <c:crossBetween val="between"/>
      </c:valAx>
      <c:catAx>
        <c:axId val="-2099071648"/>
        <c:scaling>
          <c:orientation val="minMax"/>
        </c:scaling>
        <c:delete val="1"/>
        <c:axPos val="b"/>
        <c:majorTickMark val="out"/>
        <c:minorTickMark val="none"/>
        <c:tickLblPos val="nextTo"/>
        <c:crossAx val="-2099616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7635762711"/>
          <c:y val="0.885980055516649"/>
          <c:w val="0.13365605397105"/>
          <c:h val="0.08846135688363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Cost, Distance, and CO2e Emissions of our 2016 cycling trip to Colombia: four scenarios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- Detailed'!$A$2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- Detailed'!$B$1:$E$1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Skip the hard parts</c:v>
                </c:pt>
                <c:pt idx="3">
                  <c:v>Express</c:v>
                </c:pt>
              </c:strCache>
            </c:strRef>
          </c:cat>
          <c:val>
            <c:numRef>
              <c:f>'Charts - Detailed'!$B$2:$E$2</c:f>
              <c:numCache>
                <c:formatCode>_("$"* #,##0.00_);_("$"* \(#,##0.00\);_("$"* "-"??_);_(@_)</c:formatCode>
                <c:ptCount val="4"/>
                <c:pt idx="0">
                  <c:v>2278.1</c:v>
                </c:pt>
                <c:pt idx="1">
                  <c:v>2031.19</c:v>
                </c:pt>
                <c:pt idx="2">
                  <c:v>1725.01563188</c:v>
                </c:pt>
                <c:pt idx="3">
                  <c:v>899.64563188</c:v>
                </c:pt>
              </c:numCache>
            </c:numRef>
          </c:val>
        </c:ser>
        <c:ser>
          <c:idx val="2"/>
          <c:order val="2"/>
          <c:tx>
            <c:strRef>
              <c:f>'Charts - Detailed'!$A$4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\ &quot;kg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- Detailed'!$B$1:$E$1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Skip the hard parts</c:v>
                </c:pt>
                <c:pt idx="3">
                  <c:v>Express</c:v>
                </c:pt>
              </c:strCache>
            </c:strRef>
          </c:cat>
          <c:val>
            <c:numRef>
              <c:f>'Charts - Detailed'!$B$4:$E$4</c:f>
              <c:numCache>
                <c:formatCode>_(* #,##0.00_);_(* \(#,##0.00\);_(* "-"??_);_(@_)</c:formatCode>
                <c:ptCount val="4"/>
                <c:pt idx="0">
                  <c:v>695.35</c:v>
                </c:pt>
                <c:pt idx="1">
                  <c:v>1071.07</c:v>
                </c:pt>
                <c:pt idx="2">
                  <c:v>1395.513027164</c:v>
                </c:pt>
                <c:pt idx="3">
                  <c:v>1183.688866164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2099939504"/>
        <c:axId val="2131610336"/>
      </c:barChart>
      <c:barChart>
        <c:barDir val="col"/>
        <c:grouping val="clustered"/>
        <c:varyColors val="0"/>
        <c:ser>
          <c:idx val="1"/>
          <c:order val="1"/>
          <c:tx>
            <c:strRef>
              <c:f>'Charts - Detailed'!$A$3</c:f>
              <c:strCache>
                <c:ptCount val="1"/>
                <c:pt idx="0">
                  <c:v>Distance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numFmt formatCode="#,##0\ &quot;km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'Charts - Detailed'!$B$3:$E$3</c:f>
              <c:numCache>
                <c:formatCode>_(* #,##0_);_(* \(#,##0\);_(* "-"??_);_(@_)</c:formatCode>
                <c:ptCount val="4"/>
                <c:pt idx="0">
                  <c:v>20649.0</c:v>
                </c:pt>
                <c:pt idx="1">
                  <c:v>19120.0</c:v>
                </c:pt>
                <c:pt idx="2">
                  <c:v>16792.0</c:v>
                </c:pt>
                <c:pt idx="3">
                  <c:v>9729.400000000001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-2112871168"/>
        <c:axId val="-2101440864"/>
      </c:barChart>
      <c:catAx>
        <c:axId val="-209993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610336"/>
        <c:crosses val="autoZero"/>
        <c:auto val="1"/>
        <c:lblAlgn val="ctr"/>
        <c:lblOffset val="100"/>
        <c:noMultiLvlLbl val="0"/>
      </c:catAx>
      <c:valAx>
        <c:axId val="21316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9939504"/>
        <c:crosses val="autoZero"/>
        <c:crossBetween val="between"/>
      </c:valAx>
      <c:valAx>
        <c:axId val="-2101440864"/>
        <c:scaling>
          <c:orientation val="minMax"/>
        </c:scaling>
        <c:delete val="0"/>
        <c:axPos val="r"/>
        <c:numFmt formatCode="_(* #,##0_);_(* \(#,##0\);_(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871168"/>
        <c:crosses val="max"/>
        <c:crossBetween val="between"/>
      </c:valAx>
      <c:catAx>
        <c:axId val="-2112871168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144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7635762711"/>
          <c:y val="0.885980055516649"/>
          <c:w val="0.13365605397105"/>
          <c:h val="0.08846135688363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Distance travelled</a:t>
            </a:r>
            <a:r>
              <a:rPr lang="en-US" baseline="0"/>
              <a:t> (km)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'Charts - Detailed'!$F$41</c:f>
              <c:strCache>
                <c:ptCount val="1"/>
                <c:pt idx="0">
                  <c:v>Train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'Charts - Detailed'!$G$40:$J$40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Detailed'!$G$41:$J$41</c:f>
              <c:numCache>
                <c:formatCode>_(* #,##0_);_(* \(#,##0\);_(* "-"??_);_(@_)</c:formatCode>
                <c:ptCount val="4"/>
                <c:pt idx="0">
                  <c:v>5746.0</c:v>
                </c:pt>
                <c:pt idx="1">
                  <c:v>5746.0</c:v>
                </c:pt>
                <c:pt idx="2">
                  <c:v>5746.0</c:v>
                </c:pt>
                <c:pt idx="3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'Charts - Detailed'!$F$42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'Charts - Detailed'!$G$40:$J$40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Detailed'!$G$42:$J$42</c:f>
              <c:numCache>
                <c:formatCode>_(* #,##0_);_(* \(#,##0\);_(* "-"??_);_(@_)</c:formatCode>
                <c:ptCount val="4"/>
                <c:pt idx="0">
                  <c:v>11940.0</c:v>
                </c:pt>
                <c:pt idx="1">
                  <c:v>8243.0</c:v>
                </c:pt>
                <c:pt idx="2">
                  <c:v>4119.0</c:v>
                </c:pt>
                <c:pt idx="3">
                  <c:v>399.4</c:v>
                </c:pt>
              </c:numCache>
            </c:numRef>
          </c:val>
        </c:ser>
        <c:ser>
          <c:idx val="2"/>
          <c:order val="2"/>
          <c:tx>
            <c:strRef>
              <c:f>'Charts - Detailed'!$F$43</c:f>
              <c:strCache>
                <c:ptCount val="1"/>
                <c:pt idx="0">
                  <c:v>Boat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'Charts - Detailed'!$G$40:$J$40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Detailed'!$G$43:$J$43</c:f>
              <c:numCache>
                <c:formatCode>_(* #,##0_);_(* \(#,##0\);_(* "-"??_);_(@_)</c:formatCode>
                <c:ptCount val="4"/>
                <c:pt idx="0">
                  <c:v>574.0</c:v>
                </c:pt>
                <c:pt idx="1">
                  <c:v>287.0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'Charts - Detailed'!$F$44</c:f>
              <c:strCache>
                <c:ptCount val="1"/>
                <c:pt idx="0">
                  <c:v>Plane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'Charts - Detailed'!$G$40:$J$40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Detailed'!$G$44:$J$44</c:f>
              <c:numCache>
                <c:formatCode>_(* #,##0_);_(* \(#,##0\);_(* "-"??_);_(@_)</c:formatCode>
                <c:ptCount val="4"/>
                <c:pt idx="0">
                  <c:v>0.0</c:v>
                </c:pt>
                <c:pt idx="1">
                  <c:v>3176.0</c:v>
                </c:pt>
                <c:pt idx="2">
                  <c:v>6115.0</c:v>
                </c:pt>
                <c:pt idx="3">
                  <c:v>8518.0</c:v>
                </c:pt>
              </c:numCache>
            </c:numRef>
          </c:val>
        </c:ser>
        <c:ser>
          <c:idx val="4"/>
          <c:order val="4"/>
          <c:tx>
            <c:strRef>
              <c:f>'Charts - Detailed'!$F$45</c:f>
              <c:strCache>
                <c:ptCount val="1"/>
                <c:pt idx="0">
                  <c:v>Cycling &amp; Walking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'Charts - Detailed'!$G$40:$J$40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Detailed'!$G$45:$J$45</c:f>
              <c:numCache>
                <c:formatCode>_(* #,##0_);_(* \(#,##0\);_(* "-"??_);_(@_)</c:formatCode>
                <c:ptCount val="4"/>
                <c:pt idx="0">
                  <c:v>1065.0</c:v>
                </c:pt>
                <c:pt idx="1">
                  <c:v>1065.0</c:v>
                </c:pt>
                <c:pt idx="2">
                  <c:v>812.0</c:v>
                </c:pt>
                <c:pt idx="3">
                  <c:v>812.0</c:v>
                </c:pt>
              </c:numCache>
            </c:numRef>
          </c:val>
        </c:ser>
        <c:ser>
          <c:idx val="5"/>
          <c:order val="5"/>
          <c:tx>
            <c:strRef>
              <c:f>'Charts - Detailed'!$F$46</c:f>
              <c:strCache>
                <c:ptCount val="1"/>
                <c:pt idx="0">
                  <c:v>Taxi/Car/Truck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'Charts - Detailed'!$G$40:$J$40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Detailed'!$G$46:$J$46</c:f>
              <c:numCache>
                <c:formatCode>_(* #,##0_);_(* \(#,##0\);_(* "-"??_);_(@_)</c:formatCode>
                <c:ptCount val="4"/>
                <c:pt idx="0">
                  <c:v>623.0</c:v>
                </c:pt>
                <c:pt idx="1">
                  <c:v>538.0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9983856"/>
        <c:axId val="-2105161712"/>
      </c:barChart>
      <c:catAx>
        <c:axId val="2109983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5161712"/>
        <c:crosses val="autoZero"/>
        <c:auto val="1"/>
        <c:lblAlgn val="ctr"/>
        <c:lblOffset val="100"/>
        <c:noMultiLvlLbl val="0"/>
      </c:catAx>
      <c:valAx>
        <c:axId val="-2105161712"/>
        <c:scaling>
          <c:orientation val="minMax"/>
          <c:max val="200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98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person ($ CAD)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'Charts - Detailed'!$F$52</c:f>
              <c:strCache>
                <c:ptCount val="1"/>
                <c:pt idx="0">
                  <c:v>Train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'Charts - Detailed'!$G$51:$J$51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Detailed'!$G$52:$J$52</c:f>
              <c:numCache>
                <c:formatCode>_(* #,##0_);_(* \(#,##0\);_(* "-"??_);_(@_)</c:formatCode>
                <c:ptCount val="4"/>
                <c:pt idx="0">
                  <c:v>709.0</c:v>
                </c:pt>
                <c:pt idx="1">
                  <c:v>709.0</c:v>
                </c:pt>
                <c:pt idx="2" formatCode="General">
                  <c:v>709.0</c:v>
                </c:pt>
                <c:pt idx="3" formatCode="General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'Charts - Detailed'!$F$53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'Charts - Detailed'!$G$51:$J$51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Detailed'!$G$53:$J$53</c:f>
              <c:numCache>
                <c:formatCode>_(* #,##0_);_(* \(#,##0\);_(* "-"??_);_(@_)</c:formatCode>
                <c:ptCount val="4"/>
                <c:pt idx="0">
                  <c:v>1011.34</c:v>
                </c:pt>
                <c:pt idx="1">
                  <c:v>707.98</c:v>
                </c:pt>
                <c:pt idx="2" formatCode="General">
                  <c:v>414.02</c:v>
                </c:pt>
                <c:pt idx="3" formatCode="General">
                  <c:v>67.65000000000001</c:v>
                </c:pt>
              </c:numCache>
            </c:numRef>
          </c:val>
        </c:ser>
        <c:ser>
          <c:idx val="2"/>
          <c:order val="2"/>
          <c:tx>
            <c:strRef>
              <c:f>'Charts - Detailed'!$F$54</c:f>
              <c:strCache>
                <c:ptCount val="1"/>
                <c:pt idx="0">
                  <c:v>Boat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'Charts - Detailed'!$G$51:$J$51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Detailed'!$G$54:$J$54</c:f>
              <c:numCache>
                <c:formatCode>_(* #,##0_);_(* \(#,##0\);_(* "-"??_);_(@_)</c:formatCode>
                <c:ptCount val="4"/>
                <c:pt idx="0">
                  <c:v>419.62</c:v>
                </c:pt>
                <c:pt idx="1">
                  <c:v>209.81</c:v>
                </c:pt>
                <c:pt idx="2" formatCode="General">
                  <c:v>0.0</c:v>
                </c:pt>
                <c:pt idx="3" formatCode="General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'Charts - Detailed'!$F$55</c:f>
              <c:strCache>
                <c:ptCount val="1"/>
                <c:pt idx="0">
                  <c:v>Plane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'Charts - Detailed'!$G$51:$J$51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Detailed'!$G$55:$J$55</c:f>
              <c:numCache>
                <c:formatCode>_(* #,##0_);_(* \(#,##0\);_(* "-"??_);_(@_)</c:formatCode>
                <c:ptCount val="4"/>
                <c:pt idx="0">
                  <c:v>0.0</c:v>
                </c:pt>
                <c:pt idx="1">
                  <c:v>300.0</c:v>
                </c:pt>
                <c:pt idx="2" formatCode="General">
                  <c:v>602.0</c:v>
                </c:pt>
                <c:pt idx="3" formatCode="General">
                  <c:v>832.0</c:v>
                </c:pt>
              </c:numCache>
            </c:numRef>
          </c:val>
        </c:ser>
        <c:ser>
          <c:idx val="4"/>
          <c:order val="4"/>
          <c:tx>
            <c:strRef>
              <c:f>'Charts - Detailed'!$F$56</c:f>
              <c:strCache>
                <c:ptCount val="1"/>
                <c:pt idx="0">
                  <c:v>Cycling &amp; Walking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'Charts - Detailed'!$G$51:$J$51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Detailed'!$G$56:$J$56</c:f>
              <c:numCache>
                <c:formatCode>_(* #,##0_);_(* \(#,##0\);_(* "-"??_);_(@_)</c:formatCode>
                <c:ptCount val="4"/>
                <c:pt idx="0">
                  <c:v>0.0</c:v>
                </c:pt>
                <c:pt idx="1">
                  <c:v>0.0</c:v>
                </c:pt>
                <c:pt idx="2" formatCode="General">
                  <c:v>0.0</c:v>
                </c:pt>
                <c:pt idx="3" formatCode="General">
                  <c:v>0.0</c:v>
                </c:pt>
              </c:numCache>
            </c:numRef>
          </c:val>
        </c:ser>
        <c:ser>
          <c:idx val="5"/>
          <c:order val="5"/>
          <c:tx>
            <c:strRef>
              <c:f>'Charts - Detailed'!$F$57</c:f>
              <c:strCache>
                <c:ptCount val="1"/>
                <c:pt idx="0">
                  <c:v>Taxi/Car/Truck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'Charts - Detailed'!$G$51:$J$51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Detailed'!$G$57:$J$57</c:f>
              <c:numCache>
                <c:formatCode>_(* #,##0_);_(* \(#,##0\);_(* "-"??_);_(@_)</c:formatCode>
                <c:ptCount val="4"/>
                <c:pt idx="0">
                  <c:v>125.68</c:v>
                </c:pt>
                <c:pt idx="1">
                  <c:v>91.92</c:v>
                </c:pt>
                <c:pt idx="2" formatCode="General">
                  <c:v>0.0</c:v>
                </c:pt>
                <c:pt idx="3" formatCode="General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79011312"/>
        <c:axId val="-2108049760"/>
      </c:barChart>
      <c:catAx>
        <c:axId val="-207901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049760"/>
        <c:crosses val="autoZero"/>
        <c:auto val="1"/>
        <c:lblAlgn val="ctr"/>
        <c:lblOffset val="100"/>
        <c:noMultiLvlLbl val="0"/>
      </c:catAx>
      <c:valAx>
        <c:axId val="-2108049760"/>
        <c:scaling>
          <c:orientation val="minMax"/>
          <c:max val="25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011312"/>
        <c:crosses val="autoZero"/>
        <c:crossBetween val="between"/>
        <c:majorUnit val="500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Emissions per person (kg CO2e)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'Charts - Detailed'!$F$63</c:f>
              <c:strCache>
                <c:ptCount val="1"/>
                <c:pt idx="0">
                  <c:v>Train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'Charts - Detailed'!$G$62:$J$62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Detailed'!$G$63:$J$63</c:f>
              <c:numCache>
                <c:formatCode>_(* #,##0_);_(* \(#,##0\);_(* "-"??_);_(@_)</c:formatCode>
                <c:ptCount val="4"/>
                <c:pt idx="0">
                  <c:v>460.28</c:v>
                </c:pt>
                <c:pt idx="1">
                  <c:v>460.28</c:v>
                </c:pt>
                <c:pt idx="2" formatCode="General">
                  <c:v>460.0</c:v>
                </c:pt>
                <c:pt idx="3" formatCode="General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'Charts - Detailed'!$F$64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'Charts - Detailed'!$G$62:$J$62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Detailed'!$G$64:$J$64</c:f>
              <c:numCache>
                <c:formatCode>_(* #,##0_);_(* \(#,##0\);_(* "-"??_);_(@_)</c:formatCode>
                <c:ptCount val="4"/>
                <c:pt idx="0">
                  <c:v>171.72</c:v>
                </c:pt>
                <c:pt idx="1">
                  <c:v>125.88</c:v>
                </c:pt>
                <c:pt idx="2" formatCode="General">
                  <c:v>96.7</c:v>
                </c:pt>
                <c:pt idx="3" formatCode="General">
                  <c:v>15.65</c:v>
                </c:pt>
              </c:numCache>
            </c:numRef>
          </c:val>
        </c:ser>
        <c:ser>
          <c:idx val="2"/>
          <c:order val="2"/>
          <c:tx>
            <c:strRef>
              <c:f>'Charts - Detailed'!$F$65</c:f>
              <c:strCache>
                <c:ptCount val="1"/>
                <c:pt idx="0">
                  <c:v>Boat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'Charts - Detailed'!$G$62:$J$62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Detailed'!$G$65:$J$65</c:f>
              <c:numCache>
                <c:formatCode>_(* #,##0_);_(* \(#,##0\);_(* "-"??_);_(@_)</c:formatCode>
                <c:ptCount val="4"/>
                <c:pt idx="0">
                  <c:v>21.2</c:v>
                </c:pt>
                <c:pt idx="1">
                  <c:v>10.6</c:v>
                </c:pt>
                <c:pt idx="2" formatCode="General">
                  <c:v>0.0</c:v>
                </c:pt>
                <c:pt idx="3" formatCode="General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'Charts - Detailed'!$F$66</c:f>
              <c:strCache>
                <c:ptCount val="1"/>
                <c:pt idx="0">
                  <c:v>Plane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'Charts - Detailed'!$G$62:$J$62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Detailed'!$G$66:$J$66</c:f>
              <c:numCache>
                <c:formatCode>_(* #,##0_);_(* \(#,##0\);_(* "-"??_);_(@_)</c:formatCode>
                <c:ptCount val="4"/>
                <c:pt idx="0">
                  <c:v>0.0</c:v>
                </c:pt>
                <c:pt idx="1">
                  <c:v>435.51</c:v>
                </c:pt>
                <c:pt idx="2" formatCode="General">
                  <c:v>838.52</c:v>
                </c:pt>
                <c:pt idx="3" formatCode="General">
                  <c:v>1168.03</c:v>
                </c:pt>
              </c:numCache>
            </c:numRef>
          </c:val>
        </c:ser>
        <c:ser>
          <c:idx val="4"/>
          <c:order val="4"/>
          <c:tx>
            <c:strRef>
              <c:f>'Charts - Detailed'!$F$67</c:f>
              <c:strCache>
                <c:ptCount val="1"/>
                <c:pt idx="0">
                  <c:v>Cycling &amp; Walking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'Charts - Detailed'!$G$62:$J$62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Detailed'!$G$67:$J$67</c:f>
              <c:numCache>
                <c:formatCode>_(* #,##0_);_(* \(#,##0\);_(* "-"??_);_(@_)</c:formatCode>
                <c:ptCount val="4"/>
                <c:pt idx="0">
                  <c:v>0.0</c:v>
                </c:pt>
                <c:pt idx="1">
                  <c:v>0.0</c:v>
                </c:pt>
                <c:pt idx="2" formatCode="General">
                  <c:v>0.0</c:v>
                </c:pt>
                <c:pt idx="3" formatCode="General">
                  <c:v>0.0</c:v>
                </c:pt>
              </c:numCache>
            </c:numRef>
          </c:val>
        </c:ser>
        <c:ser>
          <c:idx val="5"/>
          <c:order val="5"/>
          <c:tx>
            <c:strRef>
              <c:f>'Charts - Detailed'!$F$68</c:f>
              <c:strCache>
                <c:ptCount val="1"/>
                <c:pt idx="0">
                  <c:v>Taxi/Car/Truck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'Charts - Detailed'!$G$62:$J$62</c:f>
              <c:strCache>
                <c:ptCount val="4"/>
                <c:pt idx="0">
                  <c:v>Original Plan</c:v>
                </c:pt>
                <c:pt idx="1">
                  <c:v>Actual</c:v>
                </c:pt>
                <c:pt idx="2">
                  <c:v>Fly Mexico - Colombia</c:v>
                </c:pt>
                <c:pt idx="3">
                  <c:v>Direct flight</c:v>
                </c:pt>
              </c:strCache>
            </c:strRef>
          </c:cat>
          <c:val>
            <c:numRef>
              <c:f>'Charts - Detailed'!$G$68:$J$68</c:f>
              <c:numCache>
                <c:formatCode>_(* #,##0_);_(* \(#,##0\);_(* "-"??_);_(@_)</c:formatCode>
                <c:ptCount val="4"/>
                <c:pt idx="0">
                  <c:v>41.7</c:v>
                </c:pt>
                <c:pt idx="1">
                  <c:v>38.35</c:v>
                </c:pt>
                <c:pt idx="2" formatCode="General">
                  <c:v>0.0</c:v>
                </c:pt>
                <c:pt idx="3" formatCode="General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8837472"/>
        <c:axId val="-2045310576"/>
      </c:barChart>
      <c:catAx>
        <c:axId val="-2108837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5310576"/>
        <c:crosses val="autoZero"/>
        <c:auto val="1"/>
        <c:lblAlgn val="ctr"/>
        <c:lblOffset val="100"/>
        <c:noMultiLvlLbl val="0"/>
      </c:catAx>
      <c:valAx>
        <c:axId val="-2045310576"/>
        <c:scaling>
          <c:orientation val="minMax"/>
          <c:max val="14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83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83155</xdr:colOff>
      <xdr:row>2</xdr:row>
      <xdr:rowOff>101600</xdr:rowOff>
    </xdr:from>
    <xdr:to>
      <xdr:col>14</xdr:col>
      <xdr:colOff>549189</xdr:colOff>
      <xdr:row>21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479777</xdr:colOff>
      <xdr:row>2</xdr:row>
      <xdr:rowOff>101600</xdr:rowOff>
    </xdr:from>
    <xdr:to>
      <xdr:col>14</xdr:col>
      <xdr:colOff>549189</xdr:colOff>
      <xdr:row>21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838200</xdr:colOff>
      <xdr:row>36</xdr:row>
      <xdr:rowOff>16933</xdr:rowOff>
    </xdr:from>
    <xdr:to>
      <xdr:col>15</xdr:col>
      <xdr:colOff>668867</xdr:colOff>
      <xdr:row>47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848963</xdr:colOff>
      <xdr:row>48</xdr:row>
      <xdr:rowOff>70746</xdr:rowOff>
    </xdr:from>
    <xdr:to>
      <xdr:col>15</xdr:col>
      <xdr:colOff>679630</xdr:colOff>
      <xdr:row>59</xdr:row>
      <xdr:rowOff>206213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838200</xdr:colOff>
      <xdr:row>60</xdr:row>
      <xdr:rowOff>103034</xdr:rowOff>
    </xdr:from>
    <xdr:to>
      <xdr:col>15</xdr:col>
      <xdr:colOff>668867</xdr:colOff>
      <xdr:row>72</xdr:row>
      <xdr:rowOff>1721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B1" workbookViewId="0">
      <pane ySplit="1" topLeftCell="A45" activePane="bottomLeft" state="frozen"/>
      <selection pane="bottomLeft" activeCell="K61" activeCellId="6" sqref="K3 K7 K8 K56 K57 K58 K61"/>
    </sheetView>
  </sheetViews>
  <sheetFormatPr baseColWidth="10" defaultRowHeight="19" x14ac:dyDescent="0.25"/>
  <cols>
    <col min="1" max="1" width="3" bestFit="1" customWidth="1"/>
    <col min="2" max="3" width="22.28515625" bestFit="1" customWidth="1"/>
    <col min="4" max="4" width="22.5703125" bestFit="1" customWidth="1"/>
    <col min="5" max="5" width="22.5703125" customWidth="1"/>
    <col min="6" max="6" width="11.85546875" style="3" bestFit="1" customWidth="1"/>
    <col min="7" max="7" width="8.140625" style="3" bestFit="1" customWidth="1"/>
    <col min="8" max="8" width="15" style="3" bestFit="1" customWidth="1"/>
    <col min="9" max="9" width="13.7109375" style="3" bestFit="1" customWidth="1"/>
    <col min="10" max="10" width="10.140625" style="3" bestFit="1" customWidth="1"/>
    <col min="11" max="11" width="13.28515625" style="3" customWidth="1"/>
    <col min="12" max="12" width="13.140625" style="3" bestFit="1" customWidth="1"/>
    <col min="13" max="13" width="8.140625" style="3" customWidth="1"/>
    <col min="14" max="14" width="10.5703125" style="5" bestFit="1" customWidth="1"/>
    <col min="15" max="15" width="84.5703125" bestFit="1" customWidth="1"/>
  </cols>
  <sheetData>
    <row r="1" spans="1:15" s="1" customFormat="1" ht="38" x14ac:dyDescent="0.25">
      <c r="A1" s="1" t="s">
        <v>120</v>
      </c>
      <c r="B1" s="1" t="s">
        <v>0</v>
      </c>
      <c r="C1" s="1" t="s">
        <v>1</v>
      </c>
      <c r="D1" s="1" t="s">
        <v>94</v>
      </c>
      <c r="E1" s="1" t="s">
        <v>121</v>
      </c>
      <c r="F1" s="6" t="s">
        <v>93</v>
      </c>
      <c r="G1" s="6" t="s">
        <v>97</v>
      </c>
      <c r="H1" s="6" t="s">
        <v>95</v>
      </c>
      <c r="I1" s="6" t="s">
        <v>96</v>
      </c>
      <c r="J1" s="2" t="s">
        <v>91</v>
      </c>
      <c r="K1" s="2" t="s">
        <v>81</v>
      </c>
      <c r="L1" s="2" t="s">
        <v>80</v>
      </c>
      <c r="M1" s="2" t="s">
        <v>98</v>
      </c>
      <c r="N1" s="4" t="s">
        <v>87</v>
      </c>
      <c r="O1" s="1" t="s">
        <v>92</v>
      </c>
    </row>
    <row r="2" spans="1:15" x14ac:dyDescent="0.25">
      <c r="A2">
        <v>1</v>
      </c>
      <c r="B2" t="s">
        <v>3</v>
      </c>
      <c r="C2" t="s">
        <v>4</v>
      </c>
      <c r="D2" t="s">
        <v>85</v>
      </c>
      <c r="E2" t="s">
        <v>5</v>
      </c>
      <c r="F2" s="7">
        <v>44</v>
      </c>
      <c r="G2" s="3">
        <v>200</v>
      </c>
      <c r="H2" s="8"/>
      <c r="I2" s="8"/>
      <c r="K2" s="8">
        <v>5.351</v>
      </c>
      <c r="L2" s="8">
        <f>K2/G2</f>
        <v>2.6755000000000001E-2</v>
      </c>
      <c r="M2" s="7">
        <f>F2/G2</f>
        <v>0.22</v>
      </c>
      <c r="N2" s="5" t="s">
        <v>88</v>
      </c>
      <c r="O2" t="s">
        <v>6</v>
      </c>
    </row>
    <row r="3" spans="1:15" x14ac:dyDescent="0.25">
      <c r="A3">
        <v>2</v>
      </c>
      <c r="B3" t="str">
        <f>C2</f>
        <v>Sarnia</v>
      </c>
      <c r="C3" t="s">
        <v>7</v>
      </c>
      <c r="D3" t="s">
        <v>8</v>
      </c>
      <c r="E3" t="s">
        <v>122</v>
      </c>
      <c r="F3" s="7">
        <v>47</v>
      </c>
      <c r="G3" s="3">
        <v>14</v>
      </c>
      <c r="H3" s="8">
        <v>0.32826</v>
      </c>
      <c r="I3" s="8">
        <f>H3*G3</f>
        <v>4.5956399999999995</v>
      </c>
      <c r="J3" s="3">
        <v>2</v>
      </c>
      <c r="K3" s="8">
        <f>I3/J3</f>
        <v>2.2978199999999998</v>
      </c>
      <c r="L3" s="8">
        <f>K3/G3</f>
        <v>0.16412999999999997</v>
      </c>
      <c r="M3" s="7">
        <f>F3/G3</f>
        <v>3.3571428571428572</v>
      </c>
      <c r="N3" s="5" t="s">
        <v>88</v>
      </c>
      <c r="O3" t="s">
        <v>75</v>
      </c>
    </row>
    <row r="4" spans="1:15" x14ac:dyDescent="0.25">
      <c r="A4">
        <v>3</v>
      </c>
      <c r="B4" t="str">
        <f>C3</f>
        <v>Port Huron</v>
      </c>
      <c r="C4" t="s">
        <v>9</v>
      </c>
      <c r="D4" t="s">
        <v>86</v>
      </c>
      <c r="E4" t="s">
        <v>5</v>
      </c>
      <c r="F4" s="7">
        <v>65</v>
      </c>
      <c r="G4" s="3">
        <v>513</v>
      </c>
      <c r="H4" s="8"/>
      <c r="I4" s="8"/>
      <c r="K4" s="8">
        <f>0.085*G4</f>
        <v>43.605000000000004</v>
      </c>
      <c r="L4" s="8">
        <f>K4/G4</f>
        <v>8.5000000000000006E-2</v>
      </c>
      <c r="M4" s="7">
        <f>F4/G4</f>
        <v>0.12670565302144249</v>
      </c>
      <c r="N4" s="5" t="s">
        <v>89</v>
      </c>
      <c r="O4" t="s">
        <v>10</v>
      </c>
    </row>
    <row r="5" spans="1:15" x14ac:dyDescent="0.25">
      <c r="A5">
        <v>4</v>
      </c>
      <c r="B5" t="str">
        <f>C4</f>
        <v>Chicago</v>
      </c>
      <c r="C5" t="s">
        <v>11</v>
      </c>
      <c r="D5" t="s">
        <v>5</v>
      </c>
      <c r="E5" t="s">
        <v>5</v>
      </c>
      <c r="F5" s="7">
        <v>150</v>
      </c>
      <c r="G5" s="3">
        <v>1495</v>
      </c>
      <c r="H5" s="8"/>
      <c r="I5" s="8"/>
      <c r="K5" s="8">
        <f>0.085*G5</f>
        <v>127.075</v>
      </c>
      <c r="L5" s="8">
        <f>K5/G5</f>
        <v>8.5000000000000006E-2</v>
      </c>
      <c r="M5" s="7">
        <f>F5/G5</f>
        <v>0.10033444816053512</v>
      </c>
      <c r="N5" s="5" t="s">
        <v>89</v>
      </c>
      <c r="O5" t="s">
        <v>10</v>
      </c>
    </row>
    <row r="6" spans="1:15" x14ac:dyDescent="0.25">
      <c r="A6">
        <v>5</v>
      </c>
      <c r="B6" t="str">
        <f>C5</f>
        <v>New Orleans</v>
      </c>
      <c r="C6" t="s">
        <v>12</v>
      </c>
      <c r="D6" t="s">
        <v>5</v>
      </c>
      <c r="E6" t="s">
        <v>5</v>
      </c>
      <c r="F6" s="7">
        <v>100</v>
      </c>
      <c r="G6" s="3">
        <v>873</v>
      </c>
      <c r="H6" s="8"/>
      <c r="I6" s="8"/>
      <c r="K6" s="8">
        <f>0.085*G6</f>
        <v>74.204999999999998</v>
      </c>
      <c r="L6" s="8">
        <f>K6/G6</f>
        <v>8.4999999999999992E-2</v>
      </c>
      <c r="M6" s="7">
        <f>F6/G6</f>
        <v>0.11454753722794959</v>
      </c>
      <c r="N6" s="5" t="s">
        <v>89</v>
      </c>
      <c r="O6" t="s">
        <v>10</v>
      </c>
    </row>
    <row r="7" spans="1:15" x14ac:dyDescent="0.25">
      <c r="A7">
        <v>6</v>
      </c>
      <c r="B7" t="str">
        <f>C6</f>
        <v>San Antonio</v>
      </c>
      <c r="C7" t="s">
        <v>13</v>
      </c>
      <c r="D7" t="s">
        <v>51</v>
      </c>
      <c r="E7" t="s">
        <v>107</v>
      </c>
      <c r="F7" s="7">
        <v>52</v>
      </c>
      <c r="G7" s="3">
        <v>474</v>
      </c>
      <c r="H7" s="8">
        <v>0.503</v>
      </c>
      <c r="I7" s="8">
        <f>H7*G7</f>
        <v>238.422</v>
      </c>
      <c r="J7" s="3">
        <v>52</v>
      </c>
      <c r="K7" s="8">
        <f>I7/J7</f>
        <v>4.5850384615384616</v>
      </c>
      <c r="L7" s="8">
        <f>K7/G7</f>
        <v>9.6730769230769231E-3</v>
      </c>
      <c r="M7" s="7">
        <f>F7/G7</f>
        <v>0.10970464135021098</v>
      </c>
      <c r="N7" s="5" t="s">
        <v>89</v>
      </c>
      <c r="O7" t="s">
        <v>68</v>
      </c>
    </row>
    <row r="8" spans="1:15" x14ac:dyDescent="0.25">
      <c r="A8">
        <v>7</v>
      </c>
      <c r="B8" t="str">
        <f>C7</f>
        <v>Monterrey</v>
      </c>
      <c r="C8" t="s">
        <v>14</v>
      </c>
      <c r="D8" t="s">
        <v>51</v>
      </c>
      <c r="E8" t="s">
        <v>107</v>
      </c>
      <c r="F8" s="7">
        <v>61</v>
      </c>
      <c r="G8" s="3">
        <v>895</v>
      </c>
      <c r="H8" s="8">
        <v>0.503</v>
      </c>
      <c r="I8" s="8">
        <f>H8*G8</f>
        <v>450.185</v>
      </c>
      <c r="J8" s="3">
        <v>52</v>
      </c>
      <c r="K8" s="8">
        <f>I8/J8</f>
        <v>8.6574038461538461</v>
      </c>
      <c r="L8" s="8">
        <f>K8/G8</f>
        <v>9.6730769230769231E-3</v>
      </c>
      <c r="M8" s="7">
        <f>F8/G8</f>
        <v>6.8156424581005584E-2</v>
      </c>
      <c r="N8" s="5" t="s">
        <v>89</v>
      </c>
      <c r="O8" t="s">
        <v>68</v>
      </c>
    </row>
    <row r="9" spans="1:15" x14ac:dyDescent="0.25">
      <c r="A9">
        <v>8</v>
      </c>
      <c r="B9" t="str">
        <f>C8</f>
        <v>Mexico City</v>
      </c>
      <c r="C9" t="s">
        <v>15</v>
      </c>
      <c r="D9" t="s">
        <v>51</v>
      </c>
      <c r="E9" t="s">
        <v>107</v>
      </c>
      <c r="F9" s="7">
        <v>61</v>
      </c>
      <c r="G9" s="3">
        <v>991</v>
      </c>
      <c r="H9" s="8">
        <v>0.503</v>
      </c>
      <c r="I9" s="8">
        <f>H9*G9</f>
        <v>498.47300000000001</v>
      </c>
      <c r="J9" s="3">
        <v>52</v>
      </c>
      <c r="K9" s="8">
        <f>I9/J9</f>
        <v>9.5860192307692316</v>
      </c>
      <c r="L9" s="8">
        <f>K9/G9</f>
        <v>9.6730769230769231E-3</v>
      </c>
      <c r="M9" s="7">
        <f>F9/G9</f>
        <v>6.1553985872855703E-2</v>
      </c>
      <c r="N9" s="5" t="s">
        <v>89</v>
      </c>
      <c r="O9" t="s">
        <v>68</v>
      </c>
    </row>
    <row r="10" spans="1:15" x14ac:dyDescent="0.25">
      <c r="A10">
        <v>9</v>
      </c>
      <c r="B10" t="str">
        <f>C9</f>
        <v>San Cristobal</v>
      </c>
      <c r="C10" t="s">
        <v>16</v>
      </c>
      <c r="D10" t="s">
        <v>52</v>
      </c>
      <c r="E10" t="s">
        <v>107</v>
      </c>
      <c r="F10" s="7">
        <v>16.57</v>
      </c>
      <c r="G10" s="3">
        <v>174</v>
      </c>
      <c r="H10" s="8">
        <v>0.40100000000000002</v>
      </c>
      <c r="I10" s="8">
        <f>H10*G10</f>
        <v>69.774000000000001</v>
      </c>
      <c r="J10" s="3">
        <v>15</v>
      </c>
      <c r="K10" s="8">
        <f>I10/J10</f>
        <v>4.6516000000000002</v>
      </c>
      <c r="L10" s="8">
        <f>K10/G10</f>
        <v>2.6733333333333335E-2</v>
      </c>
      <c r="M10" s="7">
        <f>F10/G10</f>
        <v>9.5229885057471264E-2</v>
      </c>
      <c r="N10" s="5" t="s">
        <v>88</v>
      </c>
      <c r="O10" t="s">
        <v>70</v>
      </c>
    </row>
    <row r="11" spans="1:15" x14ac:dyDescent="0.25">
      <c r="A11">
        <v>10</v>
      </c>
      <c r="B11" t="str">
        <f>C10</f>
        <v>La Mesilla</v>
      </c>
      <c r="C11" t="s">
        <v>17</v>
      </c>
      <c r="D11" t="s">
        <v>52</v>
      </c>
      <c r="E11" t="s">
        <v>107</v>
      </c>
      <c r="F11" s="7">
        <v>16.57</v>
      </c>
      <c r="G11" s="3">
        <v>300</v>
      </c>
      <c r="H11" s="8">
        <v>0.40100000000000002</v>
      </c>
      <c r="I11" s="8">
        <f>H11*G11</f>
        <v>120.30000000000001</v>
      </c>
      <c r="J11" s="3">
        <v>15</v>
      </c>
      <c r="K11" s="8">
        <f>I11/J11</f>
        <v>8.0200000000000014</v>
      </c>
      <c r="L11" s="8">
        <f>K11/G11</f>
        <v>2.6733333333333338E-2</v>
      </c>
      <c r="M11" s="7">
        <f>F11/G11</f>
        <v>5.5233333333333336E-2</v>
      </c>
      <c r="N11" s="5" t="s">
        <v>88</v>
      </c>
      <c r="O11" t="s">
        <v>70</v>
      </c>
    </row>
    <row r="12" spans="1:15" x14ac:dyDescent="0.25">
      <c r="A12">
        <v>11</v>
      </c>
      <c r="B12" t="str">
        <f>C11</f>
        <v>Antigua</v>
      </c>
      <c r="C12" t="s">
        <v>18</v>
      </c>
      <c r="D12" t="s">
        <v>52</v>
      </c>
      <c r="E12" t="s">
        <v>107</v>
      </c>
      <c r="F12" s="7">
        <v>16.57</v>
      </c>
      <c r="G12" s="3">
        <v>35</v>
      </c>
      <c r="H12" s="8">
        <v>0.40100000000000002</v>
      </c>
      <c r="I12" s="8">
        <f>H12*G12</f>
        <v>14.035</v>
      </c>
      <c r="J12" s="3">
        <v>15</v>
      </c>
      <c r="K12" s="8">
        <f>I12/J12</f>
        <v>0.93566666666666665</v>
      </c>
      <c r="L12" s="8">
        <f>K12/G12</f>
        <v>2.6733333333333331E-2</v>
      </c>
      <c r="M12" s="7">
        <f>F12/G12</f>
        <v>0.47342857142857142</v>
      </c>
      <c r="N12" s="5" t="s">
        <v>88</v>
      </c>
      <c r="O12" t="s">
        <v>70</v>
      </c>
    </row>
    <row r="13" spans="1:15" x14ac:dyDescent="0.25">
      <c r="A13">
        <v>12</v>
      </c>
      <c r="B13" t="str">
        <f>C12</f>
        <v>Guatemala City</v>
      </c>
      <c r="C13" t="s">
        <v>19</v>
      </c>
      <c r="D13" t="s">
        <v>51</v>
      </c>
      <c r="E13" t="s">
        <v>107</v>
      </c>
      <c r="F13" s="7">
        <v>46</v>
      </c>
      <c r="G13" s="3">
        <v>255</v>
      </c>
      <c r="H13" s="8">
        <v>0.503</v>
      </c>
      <c r="I13" s="8">
        <f>H13*G13</f>
        <v>128.26500000000001</v>
      </c>
      <c r="J13" s="3">
        <v>52</v>
      </c>
      <c r="K13" s="8">
        <f>I13/J13</f>
        <v>2.4666346153846157</v>
      </c>
      <c r="L13" s="8">
        <f>K13/G13</f>
        <v>9.6730769230769249E-3</v>
      </c>
      <c r="M13" s="7">
        <f>F13/G13</f>
        <v>0.1803921568627451</v>
      </c>
      <c r="N13" s="5" t="s">
        <v>89</v>
      </c>
      <c r="O13" t="s">
        <v>68</v>
      </c>
    </row>
    <row r="14" spans="1:15" x14ac:dyDescent="0.25">
      <c r="A14">
        <v>13</v>
      </c>
      <c r="B14" t="str">
        <f>C13</f>
        <v>San Salvador</v>
      </c>
      <c r="C14" t="s">
        <v>20</v>
      </c>
      <c r="D14" t="s">
        <v>8</v>
      </c>
      <c r="E14" t="s">
        <v>122</v>
      </c>
      <c r="F14" s="7">
        <v>3.76</v>
      </c>
      <c r="G14" s="3">
        <v>4</v>
      </c>
      <c r="H14" s="8">
        <v>0.32826</v>
      </c>
      <c r="I14" s="8">
        <f>H14*G14</f>
        <v>1.31304</v>
      </c>
      <c r="J14" s="3">
        <v>2</v>
      </c>
      <c r="K14" s="8">
        <f>I14/J14</f>
        <v>0.65651999999999999</v>
      </c>
      <c r="L14" s="8">
        <f>K14/G14</f>
        <v>0.16413</v>
      </c>
      <c r="M14" s="7">
        <f>F14/G14</f>
        <v>0.94</v>
      </c>
      <c r="N14" s="5" t="s">
        <v>88</v>
      </c>
      <c r="O14" t="s">
        <v>75</v>
      </c>
    </row>
    <row r="15" spans="1:15" x14ac:dyDescent="0.25">
      <c r="A15">
        <v>14</v>
      </c>
      <c r="B15" t="str">
        <f>C14</f>
        <v>San Salvador Bus Terminal</v>
      </c>
      <c r="C15" t="s">
        <v>21</v>
      </c>
      <c r="D15" t="s">
        <v>53</v>
      </c>
      <c r="E15" t="s">
        <v>107</v>
      </c>
      <c r="F15" s="7">
        <v>1.88</v>
      </c>
      <c r="G15" s="3">
        <v>30</v>
      </c>
      <c r="H15" s="8">
        <v>1.1579999999999999</v>
      </c>
      <c r="I15" s="8">
        <f>H15*G15</f>
        <v>34.739999999999995</v>
      </c>
      <c r="J15" s="3">
        <v>40</v>
      </c>
      <c r="K15" s="8">
        <f>I15/J15</f>
        <v>0.86849999999999983</v>
      </c>
      <c r="L15" s="8">
        <f>K15/G15</f>
        <v>2.8949999999999993E-2</v>
      </c>
      <c r="M15" s="7">
        <f>F15/G15</f>
        <v>6.2666666666666662E-2</v>
      </c>
      <c r="N15" s="5" t="s">
        <v>88</v>
      </c>
      <c r="O15" t="s">
        <v>71</v>
      </c>
    </row>
    <row r="16" spans="1:15" x14ac:dyDescent="0.25">
      <c r="A16">
        <v>15</v>
      </c>
      <c r="B16" t="str">
        <f>C15</f>
        <v>La Libertad</v>
      </c>
      <c r="C16" t="s">
        <v>22</v>
      </c>
      <c r="D16" t="s">
        <v>52</v>
      </c>
      <c r="E16" t="s">
        <v>107</v>
      </c>
      <c r="F16" s="7">
        <v>1.25</v>
      </c>
      <c r="G16" s="3">
        <v>9</v>
      </c>
      <c r="H16" s="8">
        <v>0.40100000000000002</v>
      </c>
      <c r="I16" s="8">
        <f>H16*G16</f>
        <v>3.609</v>
      </c>
      <c r="J16" s="3">
        <v>15</v>
      </c>
      <c r="K16" s="8">
        <f>I16/J16</f>
        <v>0.24060000000000001</v>
      </c>
      <c r="L16" s="8">
        <f>K16/G16</f>
        <v>2.6733333333333335E-2</v>
      </c>
      <c r="M16" s="7">
        <f>F16/G16</f>
        <v>0.1388888888888889</v>
      </c>
      <c r="N16" s="5" t="s">
        <v>88</v>
      </c>
      <c r="O16" t="s">
        <v>70</v>
      </c>
    </row>
    <row r="17" spans="1:15" x14ac:dyDescent="0.25">
      <c r="A17">
        <v>16</v>
      </c>
      <c r="B17" t="str">
        <f>C16</f>
        <v>El Tunco</v>
      </c>
      <c r="C17" t="s">
        <v>19</v>
      </c>
      <c r="D17" t="s">
        <v>52</v>
      </c>
      <c r="E17" t="s">
        <v>107</v>
      </c>
      <c r="F17" s="7">
        <v>2.5</v>
      </c>
      <c r="G17" s="3">
        <v>39</v>
      </c>
      <c r="H17" s="8">
        <v>0.40100000000000002</v>
      </c>
      <c r="I17" s="8">
        <f>H17*G17</f>
        <v>15.639000000000001</v>
      </c>
      <c r="J17" s="3">
        <v>15</v>
      </c>
      <c r="K17" s="8">
        <f>I17/J17</f>
        <v>1.0426</v>
      </c>
      <c r="L17" s="8">
        <f>K17/G17</f>
        <v>2.6733333333333331E-2</v>
      </c>
      <c r="M17" s="7">
        <f>F17/G17</f>
        <v>6.4102564102564097E-2</v>
      </c>
      <c r="N17" s="5" t="s">
        <v>88</v>
      </c>
      <c r="O17" t="s">
        <v>70</v>
      </c>
    </row>
    <row r="18" spans="1:15" x14ac:dyDescent="0.25">
      <c r="A18">
        <v>17</v>
      </c>
      <c r="B18" t="str">
        <f>C17</f>
        <v>San Salvador</v>
      </c>
      <c r="C18" t="s">
        <v>23</v>
      </c>
      <c r="D18" t="s">
        <v>51</v>
      </c>
      <c r="E18" t="s">
        <v>107</v>
      </c>
      <c r="F18" s="7">
        <v>90</v>
      </c>
      <c r="G18" s="3">
        <v>1030</v>
      </c>
      <c r="H18" s="8">
        <v>0.503</v>
      </c>
      <c r="I18" s="8">
        <f>H18*G18</f>
        <v>518.09</v>
      </c>
      <c r="J18" s="3">
        <v>52</v>
      </c>
      <c r="K18" s="8">
        <f>I18/J18</f>
        <v>9.9632692307692317</v>
      </c>
      <c r="L18" s="8">
        <f>K18/G18</f>
        <v>9.6730769230769231E-3</v>
      </c>
      <c r="M18" s="7">
        <f>F18/G18</f>
        <v>8.7378640776699032E-2</v>
      </c>
      <c r="N18" s="5" t="s">
        <v>89</v>
      </c>
      <c r="O18" t="s">
        <v>68</v>
      </c>
    </row>
    <row r="19" spans="1:15" x14ac:dyDescent="0.25">
      <c r="A19">
        <v>18</v>
      </c>
      <c r="B19" t="str">
        <f>C18</f>
        <v>San Jose</v>
      </c>
      <c r="C19" t="s">
        <v>24</v>
      </c>
      <c r="D19" t="s">
        <v>51</v>
      </c>
      <c r="E19" t="s">
        <v>107</v>
      </c>
      <c r="F19" s="7">
        <v>51</v>
      </c>
      <c r="G19" s="3">
        <v>834</v>
      </c>
      <c r="H19" s="8">
        <v>0.503</v>
      </c>
      <c r="I19" s="8">
        <f>H19*G19</f>
        <v>419.50200000000001</v>
      </c>
      <c r="J19" s="3">
        <v>52</v>
      </c>
      <c r="K19" s="8">
        <f>I19/J19</f>
        <v>8.0673461538461542</v>
      </c>
      <c r="L19" s="8">
        <f>K19/G19</f>
        <v>9.6730769230769231E-3</v>
      </c>
      <c r="M19" s="7">
        <f>F19/G19</f>
        <v>6.1151079136690649E-2</v>
      </c>
      <c r="N19" s="5" t="s">
        <v>89</v>
      </c>
      <c r="O19" t="s">
        <v>68</v>
      </c>
    </row>
    <row r="20" spans="1:15" x14ac:dyDescent="0.25">
      <c r="A20">
        <v>19</v>
      </c>
      <c r="B20" t="str">
        <f>C19</f>
        <v>Panama City</v>
      </c>
      <c r="C20" t="s">
        <v>25</v>
      </c>
      <c r="D20" t="s">
        <v>54</v>
      </c>
      <c r="E20" t="s">
        <v>122</v>
      </c>
      <c r="F20" s="7">
        <v>30</v>
      </c>
      <c r="G20" s="3">
        <v>85</v>
      </c>
      <c r="H20" s="8">
        <v>0.22209999999999999</v>
      </c>
      <c r="I20" s="8">
        <f>H20*G20</f>
        <v>18.878499999999999</v>
      </c>
      <c r="J20" s="3">
        <v>7</v>
      </c>
      <c r="K20" s="8">
        <f>I20/J20</f>
        <v>2.6969285714285713</v>
      </c>
      <c r="L20" s="8">
        <f>K20/G20</f>
        <v>3.1728571428571425E-2</v>
      </c>
      <c r="M20" s="7">
        <f>F20/G20</f>
        <v>0.35294117647058826</v>
      </c>
      <c r="N20" s="5" t="s">
        <v>90</v>
      </c>
      <c r="O20" t="s">
        <v>72</v>
      </c>
    </row>
    <row r="21" spans="1:15" x14ac:dyDescent="0.25">
      <c r="A21">
        <v>20</v>
      </c>
      <c r="B21" t="str">
        <f>C20</f>
        <v>Carti</v>
      </c>
      <c r="C21" t="s">
        <v>26</v>
      </c>
      <c r="D21" t="s">
        <v>55</v>
      </c>
      <c r="E21" t="s">
        <v>116</v>
      </c>
      <c r="F21" s="7">
        <v>5</v>
      </c>
      <c r="G21" s="3">
        <v>1</v>
      </c>
      <c r="H21" s="8">
        <v>0.13963</v>
      </c>
      <c r="I21" s="8">
        <f>H21*G21</f>
        <v>0.13963</v>
      </c>
      <c r="J21" s="3">
        <v>2</v>
      </c>
      <c r="K21" s="8">
        <f>I21/J21</f>
        <v>6.9815000000000002E-2</v>
      </c>
      <c r="L21" s="8">
        <f>K21/G21</f>
        <v>6.9815000000000002E-2</v>
      </c>
      <c r="M21" s="7">
        <f>F21/G21</f>
        <v>5</v>
      </c>
      <c r="N21" s="5" t="s">
        <v>88</v>
      </c>
      <c r="O21" t="s">
        <v>78</v>
      </c>
    </row>
    <row r="22" spans="1:15" x14ac:dyDescent="0.25">
      <c r="A22">
        <v>21</v>
      </c>
      <c r="B22" t="str">
        <f>C21</f>
        <v>Carti Sugdub</v>
      </c>
      <c r="C22" t="s">
        <v>27</v>
      </c>
      <c r="D22" t="s">
        <v>56</v>
      </c>
      <c r="E22" t="s">
        <v>116</v>
      </c>
      <c r="F22" s="7">
        <v>156.81</v>
      </c>
      <c r="G22" s="3">
        <v>203</v>
      </c>
      <c r="H22" s="8">
        <v>0.27900000000000003</v>
      </c>
      <c r="I22" s="8">
        <f>H22*G22</f>
        <v>56.637000000000008</v>
      </c>
      <c r="J22" s="3">
        <v>6</v>
      </c>
      <c r="K22" s="8">
        <f>I22/J22</f>
        <v>9.4395000000000007</v>
      </c>
      <c r="L22" s="8">
        <f>K22/G22</f>
        <v>4.6500000000000007E-2</v>
      </c>
      <c r="M22" s="7">
        <f>F22/G22</f>
        <v>0.77246305418719208</v>
      </c>
      <c r="N22" s="5" t="s">
        <v>88</v>
      </c>
      <c r="O22" t="s">
        <v>79</v>
      </c>
    </row>
    <row r="23" spans="1:15" x14ac:dyDescent="0.25">
      <c r="A23">
        <v>22</v>
      </c>
      <c r="B23" t="str">
        <f>C22</f>
        <v>Puerto Obaldia</v>
      </c>
      <c r="C23" t="s">
        <v>28</v>
      </c>
      <c r="D23" t="s">
        <v>56</v>
      </c>
      <c r="E23" t="s">
        <v>116</v>
      </c>
      <c r="F23" s="7">
        <v>31.36</v>
      </c>
      <c r="G23" s="3">
        <v>13</v>
      </c>
      <c r="H23" s="8">
        <v>0.27900000000000003</v>
      </c>
      <c r="I23" s="8">
        <f>H23*G23</f>
        <v>3.6270000000000002</v>
      </c>
      <c r="J23" s="3">
        <v>6</v>
      </c>
      <c r="K23" s="8">
        <f>I23/J23</f>
        <v>0.60450000000000004</v>
      </c>
      <c r="L23" s="8">
        <f>K23/G23</f>
        <v>4.65E-2</v>
      </c>
      <c r="M23" s="7">
        <f>F23/G23</f>
        <v>2.4123076923076923</v>
      </c>
      <c r="N23" s="5" t="s">
        <v>88</v>
      </c>
      <c r="O23" t="s">
        <v>79</v>
      </c>
    </row>
    <row r="24" spans="1:15" x14ac:dyDescent="0.25">
      <c r="A24">
        <v>23</v>
      </c>
      <c r="B24" t="str">
        <f>C23</f>
        <v>Capurgana</v>
      </c>
      <c r="C24" t="s">
        <v>29</v>
      </c>
      <c r="D24" t="s">
        <v>57</v>
      </c>
      <c r="E24" t="s">
        <v>116</v>
      </c>
      <c r="F24" s="7">
        <v>4.16</v>
      </c>
      <c r="G24" s="3">
        <v>5</v>
      </c>
      <c r="H24" s="8">
        <v>0.27900000000000003</v>
      </c>
      <c r="I24" s="8">
        <f>H24*G24</f>
        <v>1.395</v>
      </c>
      <c r="J24" s="3">
        <v>50</v>
      </c>
      <c r="K24" s="8">
        <f>I24/J24</f>
        <v>2.7900000000000001E-2</v>
      </c>
      <c r="L24" s="8">
        <f>K24/G24</f>
        <v>5.5799999999999999E-3</v>
      </c>
      <c r="M24" s="7">
        <f>F24/G24</f>
        <v>0.83200000000000007</v>
      </c>
      <c r="N24" s="5" t="s">
        <v>88</v>
      </c>
      <c r="O24" t="s">
        <v>79</v>
      </c>
    </row>
    <row r="25" spans="1:15" x14ac:dyDescent="0.25">
      <c r="A25">
        <v>24</v>
      </c>
      <c r="B25" t="str">
        <f>C24</f>
        <v>Sapzurro</v>
      </c>
      <c r="C25" t="s">
        <v>28</v>
      </c>
      <c r="D25" t="s">
        <v>58</v>
      </c>
      <c r="E25" t="s">
        <v>123</v>
      </c>
      <c r="F25" s="7">
        <v>0</v>
      </c>
      <c r="G25" s="3">
        <v>5</v>
      </c>
      <c r="H25" s="8">
        <v>0</v>
      </c>
      <c r="I25" s="8">
        <v>0</v>
      </c>
      <c r="K25" s="8">
        <v>0</v>
      </c>
      <c r="L25" s="8">
        <f>K25/G25</f>
        <v>0</v>
      </c>
      <c r="M25" s="7">
        <f>F25/G25</f>
        <v>0</v>
      </c>
      <c r="N25" s="5" t="s">
        <v>88</v>
      </c>
    </row>
    <row r="26" spans="1:15" x14ac:dyDescent="0.25">
      <c r="A26">
        <v>25</v>
      </c>
      <c r="B26" t="str">
        <f>C25</f>
        <v>Capurgana</v>
      </c>
      <c r="C26" t="s">
        <v>30</v>
      </c>
      <c r="D26" t="s">
        <v>59</v>
      </c>
      <c r="E26" t="s">
        <v>116</v>
      </c>
      <c r="F26" s="7">
        <v>12.48</v>
      </c>
      <c r="G26" s="3">
        <v>65</v>
      </c>
      <c r="H26" s="8">
        <v>0.27900000000000003</v>
      </c>
      <c r="I26" s="8">
        <f>H26*G26</f>
        <v>18.135000000000002</v>
      </c>
      <c r="J26" s="3">
        <v>40</v>
      </c>
      <c r="K26" s="8">
        <f>I26/J26</f>
        <v>0.45337500000000003</v>
      </c>
      <c r="L26" s="8">
        <f>K26/G26</f>
        <v>6.9750000000000003E-3</v>
      </c>
      <c r="M26" s="7">
        <f>F26/G26</f>
        <v>0.192</v>
      </c>
      <c r="N26" s="5" t="s">
        <v>88</v>
      </c>
      <c r="O26" t="s">
        <v>79</v>
      </c>
    </row>
    <row r="27" spans="1:15" x14ac:dyDescent="0.25">
      <c r="A27">
        <v>26</v>
      </c>
      <c r="B27" t="str">
        <f>C26</f>
        <v>Necocli</v>
      </c>
      <c r="C27" t="s">
        <v>82</v>
      </c>
      <c r="D27" t="s">
        <v>60</v>
      </c>
      <c r="E27" t="s">
        <v>123</v>
      </c>
      <c r="F27" s="7">
        <v>0</v>
      </c>
      <c r="G27" s="3">
        <v>148</v>
      </c>
      <c r="H27" s="8">
        <v>0</v>
      </c>
      <c r="I27" s="8">
        <v>0</v>
      </c>
      <c r="K27" s="8">
        <v>0</v>
      </c>
      <c r="L27" s="8">
        <f>K27/G27</f>
        <v>0</v>
      </c>
      <c r="M27" s="7">
        <f>F27/G27</f>
        <v>0</v>
      </c>
      <c r="N27" s="5" t="s">
        <v>88</v>
      </c>
    </row>
    <row r="28" spans="1:15" x14ac:dyDescent="0.25">
      <c r="A28">
        <v>27</v>
      </c>
      <c r="B28" t="s">
        <v>82</v>
      </c>
      <c r="C28" t="s">
        <v>84</v>
      </c>
      <c r="D28" t="s">
        <v>60</v>
      </c>
      <c r="E28" t="s">
        <v>123</v>
      </c>
      <c r="F28" s="7">
        <v>0</v>
      </c>
      <c r="G28" s="3">
        <v>301</v>
      </c>
      <c r="H28" s="8">
        <v>0</v>
      </c>
      <c r="I28" s="8">
        <v>0</v>
      </c>
      <c r="K28" s="8">
        <v>0</v>
      </c>
      <c r="L28" s="8">
        <f>K28/G28</f>
        <v>0</v>
      </c>
      <c r="M28" s="7">
        <f>F28/G28</f>
        <v>0</v>
      </c>
      <c r="N28" s="5" t="s">
        <v>88</v>
      </c>
    </row>
    <row r="29" spans="1:15" x14ac:dyDescent="0.25">
      <c r="A29">
        <v>28</v>
      </c>
      <c r="B29" t="s">
        <v>84</v>
      </c>
      <c r="C29" t="s">
        <v>83</v>
      </c>
      <c r="D29" t="s">
        <v>60</v>
      </c>
      <c r="E29" t="s">
        <v>123</v>
      </c>
      <c r="F29" s="7">
        <v>0</v>
      </c>
      <c r="G29" s="3">
        <v>125</v>
      </c>
      <c r="H29" s="8">
        <v>0</v>
      </c>
      <c r="I29" s="8">
        <v>0</v>
      </c>
      <c r="K29" s="8">
        <v>0</v>
      </c>
      <c r="L29" s="8">
        <f>K29/G29</f>
        <v>0</v>
      </c>
      <c r="M29" s="7">
        <f>F29/G29</f>
        <v>0</v>
      </c>
      <c r="N29" s="5" t="s">
        <v>88</v>
      </c>
    </row>
    <row r="30" spans="1:15" x14ac:dyDescent="0.25">
      <c r="A30">
        <v>29</v>
      </c>
      <c r="B30" t="s">
        <v>83</v>
      </c>
      <c r="C30" t="s">
        <v>31</v>
      </c>
      <c r="D30" t="s">
        <v>60</v>
      </c>
      <c r="E30" t="s">
        <v>123</v>
      </c>
      <c r="F30" s="7">
        <v>0</v>
      </c>
      <c r="G30" s="3">
        <v>53</v>
      </c>
      <c r="H30" s="8">
        <v>0</v>
      </c>
      <c r="I30" s="8">
        <v>0</v>
      </c>
      <c r="K30" s="8">
        <v>0</v>
      </c>
      <c r="L30" s="8">
        <f>K30/G30</f>
        <v>0</v>
      </c>
      <c r="M30" s="7">
        <f>F30/G30</f>
        <v>0</v>
      </c>
      <c r="N30" s="5" t="s">
        <v>88</v>
      </c>
    </row>
    <row r="31" spans="1:15" x14ac:dyDescent="0.25">
      <c r="A31">
        <v>30</v>
      </c>
      <c r="B31" t="str">
        <f>C30</f>
        <v>Venecia turnoff</v>
      </c>
      <c r="C31" t="s">
        <v>32</v>
      </c>
      <c r="D31" t="s">
        <v>61</v>
      </c>
      <c r="E31" t="s">
        <v>122</v>
      </c>
      <c r="F31" s="7">
        <v>0</v>
      </c>
      <c r="G31" s="3">
        <v>28</v>
      </c>
      <c r="H31" s="8">
        <v>0.66269999999999996</v>
      </c>
      <c r="I31" s="8">
        <f>H31*G31</f>
        <v>18.555599999999998</v>
      </c>
      <c r="J31" s="3">
        <v>2</v>
      </c>
      <c r="K31" s="8">
        <f>I31/J31</f>
        <v>9.2777999999999992</v>
      </c>
      <c r="L31" s="8">
        <f>K31/G31</f>
        <v>0.33134999999999998</v>
      </c>
      <c r="M31" s="7">
        <f>F31/G31</f>
        <v>0</v>
      </c>
      <c r="N31" s="5" t="s">
        <v>88</v>
      </c>
      <c r="O31" t="s">
        <v>76</v>
      </c>
    </row>
    <row r="32" spans="1:15" x14ac:dyDescent="0.25">
      <c r="A32">
        <v>31</v>
      </c>
      <c r="B32" t="str">
        <f>C31</f>
        <v>La Pintada turnoff</v>
      </c>
      <c r="C32" t="s">
        <v>33</v>
      </c>
      <c r="D32" t="s">
        <v>60</v>
      </c>
      <c r="E32" t="s">
        <v>123</v>
      </c>
      <c r="F32" s="7">
        <v>0</v>
      </c>
      <c r="G32" s="3">
        <v>165</v>
      </c>
      <c r="H32" s="8">
        <v>0</v>
      </c>
      <c r="I32" s="8">
        <v>0</v>
      </c>
      <c r="K32" s="8">
        <v>0</v>
      </c>
      <c r="L32" s="8">
        <f>K32/G32</f>
        <v>0</v>
      </c>
      <c r="M32" s="7">
        <f>F32/G32</f>
        <v>0</v>
      </c>
      <c r="N32" s="5" t="s">
        <v>88</v>
      </c>
    </row>
    <row r="33" spans="1:15" x14ac:dyDescent="0.25">
      <c r="A33">
        <v>32</v>
      </c>
      <c r="B33" t="str">
        <f>C32</f>
        <v>Filandia</v>
      </c>
      <c r="C33" t="s">
        <v>34</v>
      </c>
      <c r="D33" t="s">
        <v>52</v>
      </c>
      <c r="E33" t="s">
        <v>107</v>
      </c>
      <c r="F33" s="7">
        <v>0.87</v>
      </c>
      <c r="G33" s="3">
        <v>12</v>
      </c>
      <c r="H33" s="8">
        <v>0.40100000000000002</v>
      </c>
      <c r="I33" s="8">
        <f>H33*G33</f>
        <v>4.8120000000000003</v>
      </c>
      <c r="J33" s="3">
        <v>20</v>
      </c>
      <c r="K33" s="8">
        <f>I33/J33</f>
        <v>0.24060000000000001</v>
      </c>
      <c r="L33" s="8">
        <f>K33/G33</f>
        <v>2.0050000000000002E-2</v>
      </c>
      <c r="M33" s="7">
        <f>F33/G33</f>
        <v>7.2499999999999995E-2</v>
      </c>
      <c r="N33" s="5" t="s">
        <v>88</v>
      </c>
      <c r="O33" t="s">
        <v>70</v>
      </c>
    </row>
    <row r="34" spans="1:15" x14ac:dyDescent="0.25">
      <c r="A34">
        <v>33</v>
      </c>
      <c r="B34" t="str">
        <f>C33</f>
        <v>Salento turnoff</v>
      </c>
      <c r="C34" t="s">
        <v>35</v>
      </c>
      <c r="D34" t="s">
        <v>58</v>
      </c>
      <c r="E34" t="s">
        <v>123</v>
      </c>
      <c r="F34" s="7">
        <v>0</v>
      </c>
      <c r="G34" s="3">
        <v>8</v>
      </c>
      <c r="H34" s="8">
        <v>0</v>
      </c>
      <c r="I34" s="8">
        <v>0</v>
      </c>
      <c r="K34" s="8">
        <v>0</v>
      </c>
      <c r="L34" s="8">
        <f>K34/G34</f>
        <v>0</v>
      </c>
      <c r="M34" s="7">
        <f>F34/G34</f>
        <v>0</v>
      </c>
      <c r="N34" s="5" t="s">
        <v>88</v>
      </c>
    </row>
    <row r="35" spans="1:15" x14ac:dyDescent="0.25">
      <c r="A35">
        <v>34</v>
      </c>
      <c r="B35" t="str">
        <f>C34</f>
        <v>Salento</v>
      </c>
      <c r="C35" t="s">
        <v>33</v>
      </c>
      <c r="D35" t="s">
        <v>52</v>
      </c>
      <c r="E35" t="s">
        <v>107</v>
      </c>
      <c r="F35" s="7">
        <v>2.91</v>
      </c>
      <c r="G35" s="3">
        <v>20</v>
      </c>
      <c r="H35" s="8">
        <v>0.40100000000000002</v>
      </c>
      <c r="I35" s="8">
        <f>H35*G35</f>
        <v>8.02</v>
      </c>
      <c r="J35" s="3">
        <v>20</v>
      </c>
      <c r="K35" s="8">
        <f>I35/J35</f>
        <v>0.40099999999999997</v>
      </c>
      <c r="L35" s="8">
        <f>K35/G35</f>
        <v>2.0049999999999998E-2</v>
      </c>
      <c r="M35" s="7">
        <f>F35/G35</f>
        <v>0.14550000000000002</v>
      </c>
      <c r="N35" s="5" t="s">
        <v>88</v>
      </c>
      <c r="O35" t="s">
        <v>70</v>
      </c>
    </row>
    <row r="36" spans="1:15" x14ac:dyDescent="0.25">
      <c r="A36">
        <v>35</v>
      </c>
      <c r="B36" t="str">
        <f>C35</f>
        <v>Filandia</v>
      </c>
      <c r="C36" t="s">
        <v>35</v>
      </c>
      <c r="D36" t="s">
        <v>52</v>
      </c>
      <c r="E36" t="s">
        <v>107</v>
      </c>
      <c r="F36" s="7">
        <v>2.5</v>
      </c>
      <c r="G36" s="3">
        <v>20</v>
      </c>
      <c r="H36" s="8">
        <v>0.40100000000000002</v>
      </c>
      <c r="I36" s="8">
        <f>H36*G36</f>
        <v>8.02</v>
      </c>
      <c r="J36" s="3">
        <v>20</v>
      </c>
      <c r="K36" s="8">
        <f>I36/J36</f>
        <v>0.40099999999999997</v>
      </c>
      <c r="L36" s="8">
        <f>K36/G36</f>
        <v>2.0049999999999998E-2</v>
      </c>
      <c r="M36" s="7">
        <f>F36/G36</f>
        <v>0.125</v>
      </c>
      <c r="N36" s="5" t="s">
        <v>88</v>
      </c>
      <c r="O36" t="s">
        <v>70</v>
      </c>
    </row>
    <row r="37" spans="1:15" x14ac:dyDescent="0.25">
      <c r="A37">
        <v>36</v>
      </c>
      <c r="B37" t="str">
        <f>C36</f>
        <v>Salento</v>
      </c>
      <c r="C37" t="s">
        <v>36</v>
      </c>
      <c r="D37" t="s">
        <v>62</v>
      </c>
      <c r="E37" t="s">
        <v>122</v>
      </c>
      <c r="F37" s="7">
        <v>1.5</v>
      </c>
      <c r="G37" s="3">
        <v>12</v>
      </c>
      <c r="H37" s="8">
        <v>0.22209999999999999</v>
      </c>
      <c r="I37" s="8">
        <f>H37*G37</f>
        <v>2.6652</v>
      </c>
      <c r="J37" s="3">
        <v>11</v>
      </c>
      <c r="K37" s="8">
        <f>I37/J37</f>
        <v>0.24229090909090908</v>
      </c>
      <c r="L37" s="8">
        <f>K37/G37</f>
        <v>2.0190909090909089E-2</v>
      </c>
      <c r="M37" s="7">
        <f>F37/G37</f>
        <v>0.125</v>
      </c>
      <c r="N37" s="5" t="s">
        <v>88</v>
      </c>
      <c r="O37" t="s">
        <v>72</v>
      </c>
    </row>
    <row r="38" spans="1:15" x14ac:dyDescent="0.25">
      <c r="A38">
        <v>37</v>
      </c>
      <c r="B38" t="str">
        <f>C37</f>
        <v>Valle de Cocora</v>
      </c>
      <c r="C38" t="s">
        <v>35</v>
      </c>
      <c r="D38" t="s">
        <v>62</v>
      </c>
      <c r="E38" t="s">
        <v>122</v>
      </c>
      <c r="F38" s="7">
        <v>1.5</v>
      </c>
      <c r="G38" s="3">
        <v>12</v>
      </c>
      <c r="H38" s="8">
        <v>0.22209999999999999</v>
      </c>
      <c r="I38" s="8">
        <f>H38*G38</f>
        <v>2.6652</v>
      </c>
      <c r="J38" s="3">
        <v>10</v>
      </c>
      <c r="K38" s="8">
        <f>I38/J38</f>
        <v>0.26651999999999998</v>
      </c>
      <c r="L38" s="8">
        <f>K38/G38</f>
        <v>2.2209999999999997E-2</v>
      </c>
      <c r="M38" s="7">
        <f>F38/G38</f>
        <v>0.125</v>
      </c>
      <c r="N38" s="5" t="s">
        <v>88</v>
      </c>
      <c r="O38" t="s">
        <v>72</v>
      </c>
    </row>
    <row r="39" spans="1:15" x14ac:dyDescent="0.25">
      <c r="A39">
        <v>38</v>
      </c>
      <c r="B39" t="str">
        <f>C38</f>
        <v>Salento</v>
      </c>
      <c r="C39" t="s">
        <v>33</v>
      </c>
      <c r="D39" t="s">
        <v>52</v>
      </c>
      <c r="E39" t="s">
        <v>107</v>
      </c>
      <c r="F39" s="7">
        <v>2.5</v>
      </c>
      <c r="G39" s="3">
        <v>20</v>
      </c>
      <c r="H39" s="8">
        <v>0.40100000000000002</v>
      </c>
      <c r="I39" s="8">
        <f>H39*G39</f>
        <v>8.02</v>
      </c>
      <c r="J39" s="3">
        <v>25</v>
      </c>
      <c r="K39" s="8">
        <f>I39/J39</f>
        <v>0.32079999999999997</v>
      </c>
      <c r="L39" s="8">
        <f>K39/G39</f>
        <v>1.6039999999999999E-2</v>
      </c>
      <c r="M39" s="7">
        <f>F39/G39</f>
        <v>0.125</v>
      </c>
      <c r="N39" s="5" t="s">
        <v>88</v>
      </c>
      <c r="O39" t="s">
        <v>70</v>
      </c>
    </row>
    <row r="40" spans="1:15" x14ac:dyDescent="0.25">
      <c r="A40">
        <v>39</v>
      </c>
      <c r="B40" t="str">
        <f>C39</f>
        <v>Filandia</v>
      </c>
      <c r="C40" t="s">
        <v>37</v>
      </c>
      <c r="D40" t="s">
        <v>60</v>
      </c>
      <c r="E40" t="s">
        <v>123</v>
      </c>
      <c r="F40" s="7">
        <v>0</v>
      </c>
      <c r="G40" s="3">
        <v>199</v>
      </c>
      <c r="H40" s="8">
        <v>0</v>
      </c>
      <c r="I40" s="8">
        <v>0</v>
      </c>
      <c r="K40" s="8">
        <v>0</v>
      </c>
      <c r="L40" s="8">
        <f>K40/G40</f>
        <v>0</v>
      </c>
      <c r="M40" s="7">
        <f>F40/G40</f>
        <v>0</v>
      </c>
      <c r="N40" s="5" t="s">
        <v>88</v>
      </c>
    </row>
    <row r="41" spans="1:15" x14ac:dyDescent="0.25">
      <c r="A41">
        <v>40</v>
      </c>
      <c r="B41" t="str">
        <f>C40</f>
        <v>Lobo Guerrero</v>
      </c>
      <c r="C41" t="s">
        <v>38</v>
      </c>
      <c r="D41" t="s">
        <v>52</v>
      </c>
      <c r="E41" t="s">
        <v>107</v>
      </c>
      <c r="F41" s="7">
        <v>2.5</v>
      </c>
      <c r="G41" s="3">
        <v>43</v>
      </c>
      <c r="H41" s="8">
        <v>0.40100000000000002</v>
      </c>
      <c r="I41" s="8">
        <f>H41*G41</f>
        <v>17.243000000000002</v>
      </c>
      <c r="J41" s="3">
        <v>10</v>
      </c>
      <c r="K41" s="8">
        <f>I41/J41</f>
        <v>1.7243000000000002</v>
      </c>
      <c r="L41" s="8">
        <f>K41/G41</f>
        <v>4.0100000000000004E-2</v>
      </c>
      <c r="M41" s="7">
        <f>F41/G41</f>
        <v>5.8139534883720929E-2</v>
      </c>
      <c r="N41" s="5" t="s">
        <v>88</v>
      </c>
      <c r="O41" t="s">
        <v>70</v>
      </c>
    </row>
    <row r="42" spans="1:15" x14ac:dyDescent="0.25">
      <c r="A42">
        <v>41</v>
      </c>
      <c r="B42" t="str">
        <f>C41</f>
        <v>Cordoba</v>
      </c>
      <c r="C42" t="s">
        <v>39</v>
      </c>
      <c r="D42" t="s">
        <v>63</v>
      </c>
      <c r="E42" t="s">
        <v>122</v>
      </c>
      <c r="F42" s="7">
        <v>2.08</v>
      </c>
      <c r="G42" s="3">
        <v>6</v>
      </c>
      <c r="H42" s="8">
        <v>0.13963</v>
      </c>
      <c r="I42" s="8">
        <f>H42*G42</f>
        <v>0.83777999999999997</v>
      </c>
      <c r="J42" s="3">
        <v>4</v>
      </c>
      <c r="K42" s="8">
        <f>I42/4</f>
        <v>0.20944499999999999</v>
      </c>
      <c r="L42" s="8">
        <f>K42/G42</f>
        <v>3.4907500000000001E-2</v>
      </c>
      <c r="M42" s="7">
        <f>F42/G42</f>
        <v>0.34666666666666668</v>
      </c>
      <c r="N42" s="5" t="s">
        <v>88</v>
      </c>
      <c r="O42" t="s">
        <v>74</v>
      </c>
    </row>
    <row r="43" spans="1:15" x14ac:dyDescent="0.25">
      <c r="A43">
        <v>42</v>
      </c>
      <c r="B43" t="str">
        <f>C42</f>
        <v>San Cipriano</v>
      </c>
      <c r="C43" t="s">
        <v>38</v>
      </c>
      <c r="D43" t="s">
        <v>63</v>
      </c>
      <c r="E43" t="s">
        <v>122</v>
      </c>
      <c r="F43" s="7">
        <v>2.08</v>
      </c>
      <c r="G43" s="3">
        <v>6</v>
      </c>
      <c r="H43" s="8">
        <v>0.13963</v>
      </c>
      <c r="I43" s="8">
        <f>H43*G43</f>
        <v>0.83777999999999997</v>
      </c>
      <c r="J43" s="3">
        <v>2</v>
      </c>
      <c r="K43" s="8">
        <f>I43/4</f>
        <v>0.20944499999999999</v>
      </c>
      <c r="L43" s="8">
        <f>K43/G43</f>
        <v>3.4907500000000001E-2</v>
      </c>
      <c r="M43" s="7">
        <f>F43/G43</f>
        <v>0.34666666666666668</v>
      </c>
      <c r="N43" s="5" t="s">
        <v>88</v>
      </c>
      <c r="O43" t="s">
        <v>74</v>
      </c>
    </row>
    <row r="44" spans="1:15" x14ac:dyDescent="0.25">
      <c r="A44">
        <v>43</v>
      </c>
      <c r="B44" t="str">
        <f>C43</f>
        <v>Cordoba</v>
      </c>
      <c r="C44" t="s">
        <v>37</v>
      </c>
      <c r="D44" t="s">
        <v>52</v>
      </c>
      <c r="E44" t="s">
        <v>107</v>
      </c>
      <c r="F44" s="7">
        <v>4.99</v>
      </c>
      <c r="G44" s="3">
        <v>43</v>
      </c>
      <c r="H44" s="8">
        <v>0.40100000000000002</v>
      </c>
      <c r="I44" s="8">
        <f>H44*G44</f>
        <v>17.243000000000002</v>
      </c>
      <c r="J44" s="3">
        <v>4</v>
      </c>
      <c r="K44" s="8">
        <f>I44/J44</f>
        <v>4.3107500000000005</v>
      </c>
      <c r="L44" s="8">
        <f>K44/G44</f>
        <v>0.10025000000000001</v>
      </c>
      <c r="M44" s="7">
        <f>F44/G44</f>
        <v>0.11604651162790698</v>
      </c>
      <c r="N44" s="5" t="s">
        <v>88</v>
      </c>
      <c r="O44" t="s">
        <v>70</v>
      </c>
    </row>
    <row r="45" spans="1:15" x14ac:dyDescent="0.25">
      <c r="A45">
        <v>44</v>
      </c>
      <c r="B45" t="str">
        <f>C44</f>
        <v>Lobo Guerrero</v>
      </c>
      <c r="C45" t="s">
        <v>40</v>
      </c>
      <c r="D45" t="s">
        <v>60</v>
      </c>
      <c r="E45" t="s">
        <v>123</v>
      </c>
      <c r="F45" s="7">
        <v>0</v>
      </c>
      <c r="G45" s="3">
        <v>61</v>
      </c>
      <c r="H45" s="8">
        <v>0</v>
      </c>
      <c r="I45" s="8">
        <v>0</v>
      </c>
      <c r="K45" s="8">
        <v>0</v>
      </c>
      <c r="L45" s="8">
        <f>K45/G45</f>
        <v>0</v>
      </c>
      <c r="M45" s="7">
        <f>F45/G45</f>
        <v>0</v>
      </c>
      <c r="N45" s="5" t="s">
        <v>88</v>
      </c>
    </row>
    <row r="46" spans="1:15" x14ac:dyDescent="0.25">
      <c r="A46">
        <v>45</v>
      </c>
      <c r="B46" t="str">
        <f>C45</f>
        <v>Cali</v>
      </c>
      <c r="C46" t="s">
        <v>40</v>
      </c>
      <c r="D46" t="s">
        <v>8</v>
      </c>
      <c r="E46" t="s">
        <v>122</v>
      </c>
      <c r="F46" s="7">
        <v>1</v>
      </c>
      <c r="G46" s="3">
        <v>3</v>
      </c>
      <c r="H46" s="8">
        <v>0.32826</v>
      </c>
      <c r="I46" s="8">
        <f>H46*G46</f>
        <v>0.98477999999999999</v>
      </c>
      <c r="J46" s="3">
        <v>2</v>
      </c>
      <c r="K46" s="8">
        <f>I46/J46</f>
        <v>0.49238999999999999</v>
      </c>
      <c r="L46" s="8">
        <f>K46/G46</f>
        <v>0.16413</v>
      </c>
      <c r="M46" s="7">
        <f>F46/G46</f>
        <v>0.33333333333333331</v>
      </c>
      <c r="N46" s="5" t="s">
        <v>88</v>
      </c>
      <c r="O46" t="s">
        <v>75</v>
      </c>
    </row>
    <row r="47" spans="1:15" x14ac:dyDescent="0.25">
      <c r="A47">
        <v>46</v>
      </c>
      <c r="B47" t="str">
        <f>C46</f>
        <v>Cali</v>
      </c>
      <c r="C47" t="s">
        <v>40</v>
      </c>
      <c r="D47" t="s">
        <v>64</v>
      </c>
      <c r="E47" t="s">
        <v>107</v>
      </c>
      <c r="F47" s="7">
        <v>0.75</v>
      </c>
      <c r="G47" s="3">
        <v>4</v>
      </c>
      <c r="H47" s="8">
        <v>1.1579999999999999</v>
      </c>
      <c r="I47" s="8">
        <f>H47*G47</f>
        <v>4.6319999999999997</v>
      </c>
      <c r="J47" s="3">
        <v>35</v>
      </c>
      <c r="K47" s="8">
        <f>I47/J47</f>
        <v>0.13234285714285712</v>
      </c>
      <c r="L47" s="8">
        <f>K47/G47</f>
        <v>3.3085714285714281E-2</v>
      </c>
      <c r="M47" s="7">
        <f>F47/G47</f>
        <v>0.1875</v>
      </c>
      <c r="N47" s="5" t="s">
        <v>88</v>
      </c>
      <c r="O47" t="s">
        <v>71</v>
      </c>
    </row>
    <row r="48" spans="1:15" x14ac:dyDescent="0.25">
      <c r="A48">
        <v>47</v>
      </c>
      <c r="B48" t="str">
        <f>C47</f>
        <v>Cali</v>
      </c>
      <c r="C48" t="s">
        <v>41</v>
      </c>
      <c r="D48" t="s">
        <v>52</v>
      </c>
      <c r="E48" t="s">
        <v>107</v>
      </c>
      <c r="F48" s="7">
        <v>2.5</v>
      </c>
      <c r="G48" s="3">
        <v>125</v>
      </c>
      <c r="H48" s="8">
        <v>0.40100000000000002</v>
      </c>
      <c r="I48" s="8">
        <f>H48*G48</f>
        <v>50.125</v>
      </c>
      <c r="J48" s="3">
        <v>25</v>
      </c>
      <c r="K48" s="8">
        <f>I48/J48</f>
        <v>2.0049999999999999</v>
      </c>
      <c r="L48" s="8">
        <f>K48/G48</f>
        <v>1.6039999999999999E-2</v>
      </c>
      <c r="M48" s="7">
        <f>F48/G48</f>
        <v>0.02</v>
      </c>
      <c r="N48" s="5" t="s">
        <v>88</v>
      </c>
      <c r="O48" t="s">
        <v>70</v>
      </c>
    </row>
    <row r="49" spans="1:15" x14ac:dyDescent="0.25">
      <c r="A49">
        <v>48</v>
      </c>
      <c r="B49" t="str">
        <f>C48</f>
        <v>Piendamo</v>
      </c>
      <c r="C49" t="s">
        <v>42</v>
      </c>
      <c r="D49" t="s">
        <v>52</v>
      </c>
      <c r="E49" t="s">
        <v>107</v>
      </c>
      <c r="F49" s="7">
        <v>1.25</v>
      </c>
      <c r="G49" s="3">
        <v>26</v>
      </c>
      <c r="H49" s="8">
        <v>0.40100000000000002</v>
      </c>
      <c r="I49" s="8">
        <f>H49*G49</f>
        <v>10.426</v>
      </c>
      <c r="J49" s="3">
        <v>25</v>
      </c>
      <c r="K49" s="8">
        <f>I49/J49</f>
        <v>0.41704000000000002</v>
      </c>
      <c r="L49" s="8">
        <f>K49/G49</f>
        <v>1.6040000000000002E-2</v>
      </c>
      <c r="M49" s="7">
        <f>F49/G49</f>
        <v>4.807692307692308E-2</v>
      </c>
      <c r="N49" s="5" t="s">
        <v>88</v>
      </c>
      <c r="O49" t="s">
        <v>70</v>
      </c>
    </row>
    <row r="50" spans="1:15" x14ac:dyDescent="0.25">
      <c r="A50">
        <v>49</v>
      </c>
      <c r="B50" t="str">
        <f>C49</f>
        <v>Silvia</v>
      </c>
      <c r="C50" t="s">
        <v>43</v>
      </c>
      <c r="D50" t="s">
        <v>52</v>
      </c>
      <c r="E50" t="s">
        <v>107</v>
      </c>
      <c r="F50" s="7">
        <v>2.5</v>
      </c>
      <c r="G50" s="3">
        <v>59</v>
      </c>
      <c r="H50" s="8">
        <v>0.40100000000000002</v>
      </c>
      <c r="I50" s="8">
        <f>H50*G50</f>
        <v>23.659000000000002</v>
      </c>
      <c r="J50" s="3">
        <v>10</v>
      </c>
      <c r="K50" s="8">
        <f>I50/J50</f>
        <v>2.3659000000000003</v>
      </c>
      <c r="L50" s="8">
        <f>K50/G50</f>
        <v>4.0100000000000004E-2</v>
      </c>
      <c r="M50" s="7">
        <f>F50/G50</f>
        <v>4.2372881355932202E-2</v>
      </c>
      <c r="N50" s="5" t="s">
        <v>88</v>
      </c>
      <c r="O50" t="s">
        <v>70</v>
      </c>
    </row>
    <row r="51" spans="1:15" x14ac:dyDescent="0.25">
      <c r="A51">
        <v>50</v>
      </c>
      <c r="B51" t="str">
        <f>C50</f>
        <v>Popayan</v>
      </c>
      <c r="C51" t="s">
        <v>44</v>
      </c>
      <c r="D51" t="s">
        <v>52</v>
      </c>
      <c r="E51" t="s">
        <v>107</v>
      </c>
      <c r="F51" s="7">
        <v>21</v>
      </c>
      <c r="G51" s="3">
        <v>275</v>
      </c>
      <c r="H51" s="8">
        <v>0.40100000000000002</v>
      </c>
      <c r="I51" s="8">
        <f>H51*G51</f>
        <v>110.27500000000001</v>
      </c>
      <c r="J51" s="3">
        <v>35</v>
      </c>
      <c r="K51" s="8">
        <f>I51/J51</f>
        <v>3.1507142857142858</v>
      </c>
      <c r="L51" s="8">
        <f>K51/G51</f>
        <v>1.1457142857142857E-2</v>
      </c>
      <c r="M51" s="7">
        <f>F51/G51</f>
        <v>7.636363636363637E-2</v>
      </c>
      <c r="N51" s="5" t="s">
        <v>89</v>
      </c>
      <c r="O51" t="s">
        <v>70</v>
      </c>
    </row>
    <row r="52" spans="1:15" x14ac:dyDescent="0.25">
      <c r="A52">
        <v>51</v>
      </c>
      <c r="B52" t="str">
        <f>C51</f>
        <v>Neiva</v>
      </c>
      <c r="C52" t="s">
        <v>45</v>
      </c>
      <c r="D52" t="s">
        <v>65</v>
      </c>
      <c r="E52" t="s">
        <v>122</v>
      </c>
      <c r="F52" s="7">
        <v>3</v>
      </c>
      <c r="G52" s="3">
        <v>38</v>
      </c>
      <c r="H52" s="8">
        <v>0.22209999999999999</v>
      </c>
      <c r="I52" s="8">
        <f>H52*G52</f>
        <v>8.4398</v>
      </c>
      <c r="J52" s="3">
        <v>6</v>
      </c>
      <c r="K52" s="8">
        <f>I52/J52</f>
        <v>1.4066333333333334</v>
      </c>
      <c r="L52" s="8">
        <f>K52/G52</f>
        <v>3.701666666666667E-2</v>
      </c>
      <c r="M52" s="7">
        <f>F52/G52</f>
        <v>7.8947368421052627E-2</v>
      </c>
      <c r="N52" s="5" t="s">
        <v>90</v>
      </c>
      <c r="O52" t="s">
        <v>72</v>
      </c>
    </row>
    <row r="53" spans="1:15" x14ac:dyDescent="0.25">
      <c r="A53">
        <v>52</v>
      </c>
      <c r="B53" t="str">
        <f>C52</f>
        <v>Villavieja</v>
      </c>
      <c r="C53" t="s">
        <v>44</v>
      </c>
      <c r="D53" t="s">
        <v>52</v>
      </c>
      <c r="E53" t="s">
        <v>107</v>
      </c>
      <c r="F53" s="7">
        <v>3</v>
      </c>
      <c r="G53" s="3">
        <v>38</v>
      </c>
      <c r="H53" s="8">
        <v>0.40100000000000002</v>
      </c>
      <c r="I53" s="8">
        <f>H53*G53</f>
        <v>15.238000000000001</v>
      </c>
      <c r="J53" s="3">
        <v>10</v>
      </c>
      <c r="K53" s="8">
        <f>I53/J53</f>
        <v>1.5238</v>
      </c>
      <c r="L53" s="8">
        <f>K53/G53</f>
        <v>4.0100000000000004E-2</v>
      </c>
      <c r="M53" s="7">
        <f>F53/G53</f>
        <v>7.8947368421052627E-2</v>
      </c>
      <c r="N53" s="5" t="s">
        <v>90</v>
      </c>
      <c r="O53" t="s">
        <v>70</v>
      </c>
    </row>
    <row r="54" spans="1:15" x14ac:dyDescent="0.25">
      <c r="A54">
        <v>53</v>
      </c>
      <c r="B54" t="str">
        <f>C53</f>
        <v>Neiva</v>
      </c>
      <c r="C54" t="s">
        <v>46</v>
      </c>
      <c r="D54" t="s">
        <v>51</v>
      </c>
      <c r="E54" t="s">
        <v>107</v>
      </c>
      <c r="F54" s="7">
        <v>18</v>
      </c>
      <c r="G54" s="3">
        <v>311</v>
      </c>
      <c r="H54" s="8">
        <v>0.503</v>
      </c>
      <c r="I54" s="8">
        <f>H54*G54</f>
        <v>156.43299999999999</v>
      </c>
      <c r="J54" s="3">
        <v>50</v>
      </c>
      <c r="K54" s="8">
        <f>I54/J54</f>
        <v>3.12866</v>
      </c>
      <c r="L54" s="8">
        <f>K54/G54</f>
        <v>1.0059999999999999E-2</v>
      </c>
      <c r="M54" s="7">
        <f>F54/G54</f>
        <v>5.7877813504823149E-2</v>
      </c>
      <c r="N54" s="5" t="s">
        <v>89</v>
      </c>
      <c r="O54" t="s">
        <v>68</v>
      </c>
    </row>
    <row r="55" spans="1:15" x14ac:dyDescent="0.25">
      <c r="A55">
        <v>54</v>
      </c>
      <c r="B55" t="str">
        <f>C54</f>
        <v>Bogota</v>
      </c>
      <c r="C55" t="s">
        <v>14</v>
      </c>
      <c r="D55" t="s">
        <v>66</v>
      </c>
      <c r="E55" t="s">
        <v>119</v>
      </c>
      <c r="F55" s="7">
        <v>300</v>
      </c>
      <c r="G55" s="3">
        <v>3176</v>
      </c>
      <c r="H55" s="8"/>
      <c r="I55" s="8"/>
      <c r="K55" s="8">
        <f>0.137125*G55</f>
        <v>435.50900000000001</v>
      </c>
      <c r="L55" s="8">
        <f>K55/G55</f>
        <v>0.137125</v>
      </c>
      <c r="M55" s="7">
        <f>F55/G55</f>
        <v>9.4458438287153654E-2</v>
      </c>
      <c r="N55" s="5" t="s">
        <v>88</v>
      </c>
      <c r="O55" t="s">
        <v>77</v>
      </c>
    </row>
    <row r="56" spans="1:15" x14ac:dyDescent="0.25">
      <c r="A56">
        <v>55</v>
      </c>
      <c r="B56" t="str">
        <f>C55</f>
        <v>Mexico City</v>
      </c>
      <c r="C56" t="s">
        <v>47</v>
      </c>
      <c r="D56" t="s">
        <v>51</v>
      </c>
      <c r="E56" t="s">
        <v>107</v>
      </c>
      <c r="F56" s="7">
        <v>78.55</v>
      </c>
      <c r="G56" s="3">
        <v>866</v>
      </c>
      <c r="H56" s="8">
        <v>0.503</v>
      </c>
      <c r="I56" s="8">
        <f>H56*G56</f>
        <v>435.59800000000001</v>
      </c>
      <c r="J56" s="3">
        <v>15</v>
      </c>
      <c r="K56" s="8">
        <f>I56/J56</f>
        <v>29.039866666666668</v>
      </c>
      <c r="L56" s="8">
        <f>K56/G56</f>
        <v>3.3533333333333339E-2</v>
      </c>
      <c r="M56" s="7">
        <f>F56/G56</f>
        <v>9.0704387990762123E-2</v>
      </c>
      <c r="N56" s="5" t="s">
        <v>88</v>
      </c>
      <c r="O56" t="s">
        <v>68</v>
      </c>
    </row>
    <row r="57" spans="1:15" x14ac:dyDescent="0.25">
      <c r="A57">
        <v>56</v>
      </c>
      <c r="B57" t="str">
        <f>C56</f>
        <v>Puerto Vallarta</v>
      </c>
      <c r="C57" t="s">
        <v>48</v>
      </c>
      <c r="D57" t="s">
        <v>67</v>
      </c>
      <c r="E57" t="s">
        <v>122</v>
      </c>
      <c r="F57" s="7">
        <v>0</v>
      </c>
      <c r="G57" s="3">
        <v>330</v>
      </c>
      <c r="H57" s="8">
        <v>0.18720000000000001</v>
      </c>
      <c r="I57" s="8">
        <f>H57*G57</f>
        <v>61.776000000000003</v>
      </c>
      <c r="J57" s="3">
        <v>3</v>
      </c>
      <c r="K57" s="8">
        <f>I57/J57</f>
        <v>20.592000000000002</v>
      </c>
      <c r="L57" s="8">
        <f>K57/G57</f>
        <v>6.2400000000000004E-2</v>
      </c>
      <c r="M57" s="7">
        <f>F57/G57</f>
        <v>0</v>
      </c>
      <c r="N57" s="5" t="s">
        <v>88</v>
      </c>
      <c r="O57" t="s">
        <v>73</v>
      </c>
    </row>
    <row r="58" spans="1:15" x14ac:dyDescent="0.25">
      <c r="A58">
        <v>57</v>
      </c>
      <c r="B58" t="str">
        <f>C57</f>
        <v>Guadalajara</v>
      </c>
      <c r="C58" t="s">
        <v>12</v>
      </c>
      <c r="D58" t="s">
        <v>51</v>
      </c>
      <c r="E58" t="s">
        <v>107</v>
      </c>
      <c r="F58" s="7">
        <v>142.82</v>
      </c>
      <c r="G58" s="3">
        <v>1310</v>
      </c>
      <c r="H58" s="8">
        <v>0.503</v>
      </c>
      <c r="I58" s="8">
        <f>H58*G58</f>
        <v>658.93</v>
      </c>
      <c r="J58" s="3">
        <v>40</v>
      </c>
      <c r="K58" s="8">
        <f>I58/J58</f>
        <v>16.47325</v>
      </c>
      <c r="L58" s="8">
        <f>K58/G58</f>
        <v>1.2574999999999999E-2</v>
      </c>
      <c r="M58" s="7">
        <f>F58/G58</f>
        <v>0.10902290076335877</v>
      </c>
      <c r="N58" s="5" t="s">
        <v>88</v>
      </c>
      <c r="O58" t="s">
        <v>68</v>
      </c>
    </row>
    <row r="59" spans="1:15" x14ac:dyDescent="0.25">
      <c r="A59">
        <v>58</v>
      </c>
      <c r="B59" t="str">
        <f>C58</f>
        <v>San Antonio</v>
      </c>
      <c r="C59" t="s">
        <v>9</v>
      </c>
      <c r="D59" t="s">
        <v>86</v>
      </c>
      <c r="E59" t="s">
        <v>5</v>
      </c>
      <c r="F59" s="7">
        <v>210</v>
      </c>
      <c r="G59" s="3">
        <v>1929</v>
      </c>
      <c r="H59" s="8"/>
      <c r="I59" s="8"/>
      <c r="K59" s="8">
        <f>0.085*G59</f>
        <v>163.965</v>
      </c>
      <c r="L59" s="8">
        <f>K59/G59</f>
        <v>8.5000000000000006E-2</v>
      </c>
      <c r="M59" s="7">
        <f>F59/G59</f>
        <v>0.1088646967340591</v>
      </c>
      <c r="N59" s="5" t="s">
        <v>89</v>
      </c>
      <c r="O59" t="s">
        <v>10</v>
      </c>
    </row>
    <row r="60" spans="1:15" x14ac:dyDescent="0.25">
      <c r="A60">
        <v>59</v>
      </c>
      <c r="B60" t="str">
        <f>C59</f>
        <v>Chicago</v>
      </c>
      <c r="C60" t="s">
        <v>49</v>
      </c>
      <c r="D60" t="s">
        <v>86</v>
      </c>
      <c r="E60" t="s">
        <v>5</v>
      </c>
      <c r="F60" s="7">
        <v>60</v>
      </c>
      <c r="G60" s="3">
        <v>453</v>
      </c>
      <c r="H60" s="8"/>
      <c r="I60" s="8"/>
      <c r="K60" s="8">
        <f>0.085*G60</f>
        <v>38.505000000000003</v>
      </c>
      <c r="L60" s="8">
        <f>K60/G60</f>
        <v>8.5000000000000006E-2</v>
      </c>
      <c r="M60" s="7">
        <f>F60/G60</f>
        <v>0.13245033112582782</v>
      </c>
      <c r="N60" s="5" t="s">
        <v>89</v>
      </c>
      <c r="O60" t="s">
        <v>10</v>
      </c>
    </row>
    <row r="61" spans="1:15" x14ac:dyDescent="0.25">
      <c r="A61">
        <v>60</v>
      </c>
      <c r="B61" t="str">
        <f>C60</f>
        <v>Detroit</v>
      </c>
      <c r="C61" t="s">
        <v>50</v>
      </c>
      <c r="D61" t="s">
        <v>64</v>
      </c>
      <c r="E61" t="s">
        <v>107</v>
      </c>
      <c r="F61" s="7">
        <v>5</v>
      </c>
      <c r="G61" s="3">
        <v>5</v>
      </c>
      <c r="H61" s="8">
        <v>1.1579999999999999</v>
      </c>
      <c r="I61" s="8">
        <f>H61*G61</f>
        <v>5.7899999999999991</v>
      </c>
      <c r="J61" s="3">
        <v>5</v>
      </c>
      <c r="K61" s="8">
        <f>I61/J61</f>
        <v>1.1579999999999999</v>
      </c>
      <c r="L61" s="8">
        <f>K61/G61</f>
        <v>0.23159999999999997</v>
      </c>
      <c r="M61" s="7">
        <f>F61/G61</f>
        <v>1</v>
      </c>
      <c r="N61" s="5" t="s">
        <v>88</v>
      </c>
      <c r="O61" t="s">
        <v>71</v>
      </c>
    </row>
    <row r="62" spans="1:15" x14ac:dyDescent="0.25">
      <c r="A62">
        <v>61</v>
      </c>
      <c r="B62" t="str">
        <f>C61</f>
        <v>Windsor</v>
      </c>
      <c r="C62" t="s">
        <v>3</v>
      </c>
      <c r="D62" t="s">
        <v>85</v>
      </c>
      <c r="E62" t="s">
        <v>5</v>
      </c>
      <c r="F62" s="7">
        <v>80</v>
      </c>
      <c r="G62" s="3">
        <v>283</v>
      </c>
      <c r="H62" s="8"/>
      <c r="I62" s="8"/>
      <c r="K62" s="8">
        <v>7.5720000000000001</v>
      </c>
      <c r="L62" s="8">
        <f>K62/G62</f>
        <v>2.6756183745583039E-2</v>
      </c>
      <c r="M62" s="7">
        <f>F62/G62</f>
        <v>0.28268551236749118</v>
      </c>
      <c r="N62" s="5" t="s">
        <v>89</v>
      </c>
      <c r="O62" t="s">
        <v>6</v>
      </c>
    </row>
    <row r="63" spans="1:15" x14ac:dyDescent="0.25">
      <c r="H63" s="8"/>
      <c r="I63" s="8"/>
      <c r="K63" s="8"/>
      <c r="L63" s="8"/>
    </row>
    <row r="64" spans="1:15" x14ac:dyDescent="0.25">
      <c r="H64" s="8"/>
      <c r="I64" s="8"/>
      <c r="K64" s="8"/>
      <c r="L64" s="8"/>
    </row>
    <row r="65" spans="8:12" x14ac:dyDescent="0.25">
      <c r="H65" s="8"/>
      <c r="I65" s="8"/>
      <c r="K65" s="8"/>
      <c r="L65" s="8"/>
    </row>
    <row r="66" spans="8:12" x14ac:dyDescent="0.25">
      <c r="H66" s="8"/>
      <c r="I66" s="8"/>
      <c r="K66" s="8"/>
      <c r="L66" s="8"/>
    </row>
    <row r="67" spans="8:12" x14ac:dyDescent="0.25">
      <c r="H67" s="8"/>
      <c r="I67" s="8"/>
      <c r="K67" s="8"/>
      <c r="L67" s="8"/>
    </row>
    <row r="68" spans="8:12" x14ac:dyDescent="0.25">
      <c r="H68" s="8"/>
      <c r="I68" s="8"/>
      <c r="K68" s="8"/>
      <c r="L68" s="8"/>
    </row>
    <row r="69" spans="8:12" x14ac:dyDescent="0.25">
      <c r="H69" s="8"/>
      <c r="I69" s="8"/>
      <c r="K69" s="8"/>
      <c r="L69" s="8"/>
    </row>
    <row r="70" spans="8:12" x14ac:dyDescent="0.25">
      <c r="H70" s="8"/>
      <c r="I70" s="8"/>
      <c r="K70" s="8"/>
      <c r="L70" s="8"/>
    </row>
    <row r="71" spans="8:12" x14ac:dyDescent="0.25">
      <c r="H71" s="8"/>
      <c r="I71" s="8"/>
      <c r="K71" s="8"/>
      <c r="L71" s="8"/>
    </row>
    <row r="72" spans="8:12" x14ac:dyDescent="0.25">
      <c r="H72" s="8"/>
      <c r="I72" s="8"/>
      <c r="K72" s="8"/>
      <c r="L72" s="8"/>
    </row>
    <row r="73" spans="8:12" x14ac:dyDescent="0.25">
      <c r="H73" s="8"/>
      <c r="I73" s="8"/>
      <c r="K73" s="8"/>
      <c r="L73" s="8"/>
    </row>
    <row r="74" spans="8:12" x14ac:dyDescent="0.25">
      <c r="H74" s="8"/>
      <c r="I74" s="8"/>
      <c r="K74" s="8"/>
      <c r="L74" s="8"/>
    </row>
    <row r="75" spans="8:12" x14ac:dyDescent="0.25">
      <c r="H75" s="8"/>
      <c r="I75" s="8"/>
      <c r="K75" s="8"/>
      <c r="L75" s="8"/>
    </row>
    <row r="76" spans="8:12" x14ac:dyDescent="0.25">
      <c r="H76" s="8"/>
      <c r="I76" s="8"/>
      <c r="K76" s="8"/>
      <c r="L76" s="8"/>
    </row>
    <row r="77" spans="8:12" x14ac:dyDescent="0.25">
      <c r="H77" s="8"/>
      <c r="I77" s="8"/>
      <c r="K77" s="8"/>
      <c r="L77" s="8"/>
    </row>
    <row r="78" spans="8:12" x14ac:dyDescent="0.25">
      <c r="H78" s="8"/>
      <c r="I78" s="8"/>
      <c r="K78" s="8"/>
      <c r="L78" s="8"/>
    </row>
    <row r="79" spans="8:12" x14ac:dyDescent="0.25">
      <c r="H79" s="8"/>
      <c r="I79" s="8"/>
      <c r="K79" s="8"/>
      <c r="L79" s="8"/>
    </row>
    <row r="80" spans="8:12" x14ac:dyDescent="0.25">
      <c r="H80" s="8"/>
      <c r="I80" s="8"/>
      <c r="K80" s="8"/>
      <c r="L80" s="8"/>
    </row>
    <row r="81" spans="8:12" x14ac:dyDescent="0.25">
      <c r="H81" s="8"/>
      <c r="I81" s="8"/>
      <c r="K81" s="8"/>
      <c r="L81" s="8"/>
    </row>
    <row r="82" spans="8:12" x14ac:dyDescent="0.25">
      <c r="H82" s="8"/>
      <c r="I82" s="8"/>
      <c r="K82" s="8"/>
      <c r="L82" s="8"/>
    </row>
    <row r="83" spans="8:12" x14ac:dyDescent="0.25">
      <c r="H83" s="8"/>
      <c r="I83" s="8"/>
      <c r="K83" s="8"/>
      <c r="L83" s="8"/>
    </row>
    <row r="84" spans="8:12" x14ac:dyDescent="0.25">
      <c r="H84" s="8"/>
      <c r="I84" s="8"/>
      <c r="K84" s="8"/>
      <c r="L84" s="8"/>
    </row>
    <row r="85" spans="8:12" x14ac:dyDescent="0.25">
      <c r="H85" s="8"/>
      <c r="I85" s="8"/>
      <c r="K85" s="8"/>
      <c r="L85" s="8"/>
    </row>
    <row r="86" spans="8:12" x14ac:dyDescent="0.25">
      <c r="H86" s="8"/>
      <c r="I86" s="8"/>
      <c r="K86" s="8"/>
      <c r="L86" s="8"/>
    </row>
    <row r="87" spans="8:12" x14ac:dyDescent="0.25">
      <c r="H87" s="8"/>
      <c r="I87" s="8"/>
      <c r="K87" s="8"/>
      <c r="L87" s="8"/>
    </row>
    <row r="88" spans="8:12" x14ac:dyDescent="0.25">
      <c r="H88" s="8"/>
      <c r="I88" s="8"/>
      <c r="K88" s="8"/>
      <c r="L88" s="8"/>
    </row>
    <row r="89" spans="8:12" x14ac:dyDescent="0.25">
      <c r="H89" s="8"/>
      <c r="I89" s="8"/>
      <c r="K89" s="8"/>
      <c r="L89" s="8"/>
    </row>
    <row r="90" spans="8:12" x14ac:dyDescent="0.25">
      <c r="H90" s="8"/>
      <c r="I90" s="8"/>
      <c r="K90" s="8"/>
      <c r="L90" s="8"/>
    </row>
    <row r="91" spans="8:12" x14ac:dyDescent="0.25">
      <c r="H91" s="8"/>
      <c r="I91" s="8"/>
      <c r="K91" s="8"/>
      <c r="L91" s="8"/>
    </row>
    <row r="92" spans="8:12" x14ac:dyDescent="0.25">
      <c r="H92" s="8"/>
      <c r="I92" s="8"/>
      <c r="K92" s="8"/>
      <c r="L92" s="8"/>
    </row>
    <row r="93" spans="8:12" x14ac:dyDescent="0.25">
      <c r="H93" s="8"/>
      <c r="I93" s="8"/>
      <c r="K93" s="8"/>
      <c r="L93" s="8"/>
    </row>
    <row r="94" spans="8:12" x14ac:dyDescent="0.25">
      <c r="H94" s="8"/>
      <c r="I94" s="8"/>
      <c r="K94" s="8"/>
      <c r="L94" s="8"/>
    </row>
    <row r="95" spans="8:12" x14ac:dyDescent="0.25">
      <c r="H95" s="8"/>
      <c r="I95" s="8"/>
      <c r="K95" s="8"/>
      <c r="L95" s="8"/>
    </row>
    <row r="96" spans="8:12" x14ac:dyDescent="0.25">
      <c r="H96" s="8"/>
      <c r="I96" s="8"/>
      <c r="K96" s="8"/>
      <c r="L96" s="8"/>
    </row>
    <row r="97" spans="8:12" x14ac:dyDescent="0.25">
      <c r="H97" s="8"/>
      <c r="I97" s="8"/>
      <c r="K97" s="8"/>
      <c r="L97" s="8"/>
    </row>
    <row r="98" spans="8:12" x14ac:dyDescent="0.25">
      <c r="H98" s="8"/>
      <c r="I98" s="8"/>
      <c r="K98" s="8"/>
      <c r="L98" s="8"/>
    </row>
    <row r="99" spans="8:12" x14ac:dyDescent="0.25">
      <c r="H99" s="8"/>
      <c r="I99" s="8"/>
    </row>
    <row r="100" spans="8:12" x14ac:dyDescent="0.25">
      <c r="H100" s="8"/>
      <c r="I100" s="8"/>
    </row>
    <row r="101" spans="8:12" x14ac:dyDescent="0.25">
      <c r="H101" s="8"/>
      <c r="I101" s="8"/>
    </row>
    <row r="102" spans="8:12" x14ac:dyDescent="0.25">
      <c r="H102" s="8"/>
      <c r="I102" s="8"/>
    </row>
    <row r="103" spans="8:12" x14ac:dyDescent="0.25">
      <c r="H103" s="8"/>
      <c r="I103" s="8"/>
    </row>
    <row r="104" spans="8:12" x14ac:dyDescent="0.25">
      <c r="H104" s="8"/>
      <c r="I104" s="8"/>
    </row>
    <row r="105" spans="8:12" x14ac:dyDescent="0.25">
      <c r="H105" s="8"/>
      <c r="I105" s="8"/>
    </row>
  </sheetData>
  <autoFilter ref="A1:O105">
    <sortState ref="A2:O105">
      <sortCondition ref="A1:A105"/>
    </sortState>
  </autoFilter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F22" activeCellId="1" sqref="F20 F22"/>
    </sheetView>
  </sheetViews>
  <sheetFormatPr baseColWidth="10" defaultRowHeight="19" x14ac:dyDescent="0.25"/>
  <cols>
    <col min="1" max="1" width="26" bestFit="1" customWidth="1"/>
    <col min="2" max="2" width="10.42578125" bestFit="1" customWidth="1"/>
    <col min="3" max="3" width="25.28515625" bestFit="1" customWidth="1"/>
    <col min="4" max="4" width="14" customWidth="1"/>
    <col min="5" max="5" width="13.5703125" customWidth="1"/>
    <col min="6" max="6" width="12" customWidth="1"/>
    <col min="7" max="7" width="14.7109375" customWidth="1"/>
    <col min="8" max="8" width="10.42578125" customWidth="1"/>
  </cols>
  <sheetData>
    <row r="1" spans="1:8" ht="38" x14ac:dyDescent="0.25">
      <c r="A1" s="1" t="s">
        <v>0</v>
      </c>
      <c r="B1" s="1" t="s">
        <v>1</v>
      </c>
      <c r="C1" s="1" t="s">
        <v>94</v>
      </c>
      <c r="D1" s="6" t="s">
        <v>93</v>
      </c>
      <c r="E1" s="6" t="s">
        <v>2</v>
      </c>
      <c r="F1" s="2" t="s">
        <v>81</v>
      </c>
      <c r="G1" s="2" t="s">
        <v>80</v>
      </c>
      <c r="H1" s="2" t="s">
        <v>98</v>
      </c>
    </row>
    <row r="2" spans="1:8" x14ac:dyDescent="0.25">
      <c r="A2" s="1" t="s">
        <v>110</v>
      </c>
      <c r="B2" s="1"/>
      <c r="C2" s="1"/>
      <c r="D2" s="9"/>
      <c r="E2" s="6"/>
      <c r="F2" s="2"/>
      <c r="G2" s="2"/>
      <c r="H2" s="2"/>
    </row>
    <row r="3" spans="1:8" x14ac:dyDescent="0.25">
      <c r="A3" t="s">
        <v>3</v>
      </c>
      <c r="B3" t="s">
        <v>30</v>
      </c>
      <c r="C3" t="s">
        <v>99</v>
      </c>
      <c r="D3" s="10">
        <v>1065.9100000000001</v>
      </c>
      <c r="E3">
        <v>8542</v>
      </c>
      <c r="F3" s="11">
        <v>325.57</v>
      </c>
      <c r="G3" s="11">
        <f>F3/E3</f>
        <v>3.8114024818543667E-2</v>
      </c>
      <c r="H3" s="10">
        <f>D3/E3</f>
        <v>0.12478459377195038</v>
      </c>
    </row>
    <row r="4" spans="1:8" x14ac:dyDescent="0.25">
      <c r="A4" t="s">
        <v>30</v>
      </c>
      <c r="B4" t="s">
        <v>40</v>
      </c>
      <c r="C4" t="s">
        <v>100</v>
      </c>
      <c r="D4" s="10">
        <v>35.909999999999997</v>
      </c>
      <c r="E4">
        <v>1347</v>
      </c>
      <c r="F4" s="11">
        <v>18.059999999999999</v>
      </c>
      <c r="G4" s="11">
        <f>F4/E4</f>
        <v>1.3407572383073496E-2</v>
      </c>
      <c r="H4" s="10">
        <f>D4/E4</f>
        <v>2.6659242761692646E-2</v>
      </c>
    </row>
    <row r="5" spans="1:8" x14ac:dyDescent="0.25">
      <c r="A5" t="s">
        <v>40</v>
      </c>
      <c r="B5" t="s">
        <v>46</v>
      </c>
      <c r="C5" t="s">
        <v>101</v>
      </c>
      <c r="D5" s="10">
        <v>53</v>
      </c>
      <c r="E5">
        <v>879</v>
      </c>
      <c r="F5" s="11">
        <v>14.62</v>
      </c>
      <c r="G5" s="11">
        <f t="shared" ref="G5:G7" si="0">F5/E5</f>
        <v>1.6632536973833902E-2</v>
      </c>
      <c r="H5" s="10">
        <f t="shared" ref="H5:H7" si="1">D5/E5</f>
        <v>6.0295790671217292E-2</v>
      </c>
    </row>
    <row r="6" spans="1:8" x14ac:dyDescent="0.25">
      <c r="A6" t="s">
        <v>46</v>
      </c>
      <c r="B6" t="s">
        <v>14</v>
      </c>
      <c r="C6" t="s">
        <v>101</v>
      </c>
      <c r="D6" s="10">
        <v>546.91</v>
      </c>
      <c r="E6">
        <v>4705</v>
      </c>
      <c r="F6" s="11">
        <v>59.79</v>
      </c>
      <c r="G6" s="11">
        <f t="shared" si="0"/>
        <v>1.2707757704569606E-2</v>
      </c>
      <c r="H6" s="10">
        <f t="shared" si="1"/>
        <v>0.11624017003188097</v>
      </c>
    </row>
    <row r="7" spans="1:8" x14ac:dyDescent="0.25">
      <c r="A7" t="s">
        <v>14</v>
      </c>
      <c r="B7" t="s">
        <v>3</v>
      </c>
      <c r="C7" t="s">
        <v>102</v>
      </c>
      <c r="D7" s="10">
        <v>576.37</v>
      </c>
      <c r="E7">
        <v>5176</v>
      </c>
      <c r="F7" s="11">
        <v>277.31</v>
      </c>
      <c r="G7" s="11">
        <f t="shared" si="0"/>
        <v>5.3576120556414218E-2</v>
      </c>
      <c r="H7" s="10">
        <f t="shared" si="1"/>
        <v>0.11135432766615147</v>
      </c>
    </row>
    <row r="8" spans="1:8" s="1" customFormat="1" x14ac:dyDescent="0.25">
      <c r="C8" s="1" t="s">
        <v>109</v>
      </c>
      <c r="D8" s="13">
        <f>SUM(D3:D7)</f>
        <v>2278.1</v>
      </c>
      <c r="E8" s="1">
        <f>SUM(E3:E7)</f>
        <v>20649</v>
      </c>
      <c r="F8" s="14">
        <f>SUM(F3:F7)</f>
        <v>695.35</v>
      </c>
      <c r="G8" s="14">
        <f>F8/E8</f>
        <v>3.3674754225386218E-2</v>
      </c>
      <c r="H8" s="13">
        <f>D8/E8</f>
        <v>0.11032495520364181</v>
      </c>
    </row>
    <row r="9" spans="1:8" s="1" customFormat="1" x14ac:dyDescent="0.25">
      <c r="D9" s="13"/>
      <c r="F9" s="14"/>
      <c r="G9" s="14"/>
      <c r="H9" s="13"/>
    </row>
    <row r="10" spans="1:8" x14ac:dyDescent="0.25">
      <c r="A10" s="1" t="s">
        <v>88</v>
      </c>
      <c r="B10" s="1"/>
      <c r="C10" s="1"/>
      <c r="D10" s="9"/>
      <c r="E10" s="6"/>
      <c r="F10" s="2"/>
      <c r="G10" s="2"/>
      <c r="H10" s="2"/>
    </row>
    <row r="11" spans="1:8" x14ac:dyDescent="0.25">
      <c r="A11" t="s">
        <v>3</v>
      </c>
      <c r="B11" t="s">
        <v>30</v>
      </c>
      <c r="C11" t="s">
        <v>99</v>
      </c>
      <c r="D11" s="10">
        <v>1065.9100000000001</v>
      </c>
      <c r="E11">
        <v>8542</v>
      </c>
      <c r="F11" s="11">
        <v>325.57</v>
      </c>
      <c r="G11" s="11">
        <f>F11/E11</f>
        <v>3.8114024818543667E-2</v>
      </c>
      <c r="H11" s="10">
        <f>D11/E11</f>
        <v>0.12478459377195038</v>
      </c>
    </row>
    <row r="12" spans="1:8" x14ac:dyDescent="0.25">
      <c r="A12" t="s">
        <v>30</v>
      </c>
      <c r="B12" t="s">
        <v>40</v>
      </c>
      <c r="C12" t="s">
        <v>100</v>
      </c>
      <c r="D12" s="10">
        <v>35.909999999999997</v>
      </c>
      <c r="E12">
        <v>1347</v>
      </c>
      <c r="F12" s="11">
        <v>18.059999999999999</v>
      </c>
      <c r="G12" s="11">
        <f>F12/E12</f>
        <v>1.3407572383073496E-2</v>
      </c>
      <c r="H12" s="10">
        <f>D12/E12</f>
        <v>2.6659242761692646E-2</v>
      </c>
    </row>
    <row r="13" spans="1:8" x14ac:dyDescent="0.25">
      <c r="A13" t="s">
        <v>40</v>
      </c>
      <c r="B13" t="s">
        <v>46</v>
      </c>
      <c r="C13" t="s">
        <v>101</v>
      </c>
      <c r="D13" s="10">
        <v>53</v>
      </c>
      <c r="E13">
        <v>879</v>
      </c>
      <c r="F13" s="11">
        <v>14.62</v>
      </c>
      <c r="G13" s="11">
        <f t="shared" ref="G13:G15" si="2">F13/E13</f>
        <v>1.6632536973833902E-2</v>
      </c>
      <c r="H13" s="10">
        <f t="shared" ref="H13:H15" si="3">D13/E13</f>
        <v>6.0295790671217292E-2</v>
      </c>
    </row>
    <row r="14" spans="1:8" x14ac:dyDescent="0.25">
      <c r="A14" t="s">
        <v>46</v>
      </c>
      <c r="B14" t="s">
        <v>14</v>
      </c>
      <c r="C14" t="s">
        <v>66</v>
      </c>
      <c r="D14" s="10">
        <v>300</v>
      </c>
      <c r="E14">
        <v>3176</v>
      </c>
      <c r="F14" s="11">
        <v>435.51</v>
      </c>
      <c r="G14" s="11">
        <f t="shared" si="2"/>
        <v>0.13712531486146096</v>
      </c>
      <c r="H14" s="10">
        <f t="shared" si="3"/>
        <v>9.4458438287153654E-2</v>
      </c>
    </row>
    <row r="15" spans="1:8" x14ac:dyDescent="0.25">
      <c r="A15" t="s">
        <v>14</v>
      </c>
      <c r="B15" t="s">
        <v>3</v>
      </c>
      <c r="C15" t="s">
        <v>102</v>
      </c>
      <c r="D15" s="10">
        <v>576.37</v>
      </c>
      <c r="E15">
        <v>5176</v>
      </c>
      <c r="F15" s="11">
        <v>277.31</v>
      </c>
      <c r="G15" s="11">
        <f t="shared" si="2"/>
        <v>5.3576120556414218E-2</v>
      </c>
      <c r="H15" s="10">
        <f t="shared" si="3"/>
        <v>0.11135432766615147</v>
      </c>
    </row>
    <row r="16" spans="1:8" s="1" customFormat="1" x14ac:dyDescent="0.25">
      <c r="C16" s="1" t="s">
        <v>109</v>
      </c>
      <c r="D16" s="13">
        <f>SUM(D11:D15)</f>
        <v>2031.19</v>
      </c>
      <c r="E16" s="1">
        <f>SUM(E11:E15)</f>
        <v>19120</v>
      </c>
      <c r="F16" s="14">
        <f>SUM(F11:F15)</f>
        <v>1071.07</v>
      </c>
      <c r="G16" s="14">
        <f>F16/E16</f>
        <v>5.6018305439330542E-2</v>
      </c>
      <c r="H16" s="13">
        <f>D16/E16</f>
        <v>0.10623378661087866</v>
      </c>
    </row>
    <row r="17" spans="1:8" x14ac:dyDescent="0.25">
      <c r="D17" s="10"/>
      <c r="F17" s="11"/>
      <c r="G17" s="11"/>
      <c r="H17" s="10"/>
    </row>
    <row r="18" spans="1:8" x14ac:dyDescent="0.25">
      <c r="A18" s="1" t="s">
        <v>103</v>
      </c>
      <c r="D18" s="10"/>
      <c r="F18" s="11"/>
      <c r="G18" s="11"/>
      <c r="H18" s="10"/>
    </row>
    <row r="19" spans="1:8" x14ac:dyDescent="0.25">
      <c r="A19" t="s">
        <v>3</v>
      </c>
      <c r="B19" t="s">
        <v>14</v>
      </c>
      <c r="C19" t="s">
        <v>105</v>
      </c>
      <c r="D19" s="10">
        <v>519</v>
      </c>
      <c r="E19">
        <v>4464</v>
      </c>
      <c r="F19" s="11">
        <v>265.77999999999997</v>
      </c>
      <c r="G19" s="11">
        <f>F19/E19</f>
        <v>5.9538530465949813E-2</v>
      </c>
      <c r="H19" s="10">
        <f>D19/E19</f>
        <v>0.11626344086021505</v>
      </c>
    </row>
    <row r="20" spans="1:8" x14ac:dyDescent="0.25">
      <c r="A20" t="s">
        <v>14</v>
      </c>
      <c r="B20" t="s">
        <v>83</v>
      </c>
      <c r="C20" t="s">
        <v>66</v>
      </c>
      <c r="D20" s="10">
        <v>302</v>
      </c>
      <c r="E20">
        <v>2939</v>
      </c>
      <c r="F20" s="11">
        <f>E20*G20</f>
        <v>403.01037500000001</v>
      </c>
      <c r="G20" s="11">
        <v>0.137125</v>
      </c>
      <c r="H20" s="10">
        <f>D20/E20</f>
        <v>0.10275603946920721</v>
      </c>
    </row>
    <row r="21" spans="1:8" x14ac:dyDescent="0.25">
      <c r="A21" t="s">
        <v>83</v>
      </c>
      <c r="B21" t="s">
        <v>108</v>
      </c>
      <c r="C21" t="s">
        <v>100</v>
      </c>
      <c r="D21" s="10">
        <f>H21*E21</f>
        <v>27.64563188</v>
      </c>
      <c r="E21">
        <v>1037</v>
      </c>
      <c r="F21" s="11">
        <f t="shared" ref="F21:F22" si="4">E21*G21</f>
        <v>13.903652164</v>
      </c>
      <c r="G21" s="11">
        <v>1.3407572E-2</v>
      </c>
      <c r="H21" s="10">
        <v>2.6659240000000001E-2</v>
      </c>
    </row>
    <row r="22" spans="1:8" x14ac:dyDescent="0.25">
      <c r="A22" t="s">
        <v>46</v>
      </c>
      <c r="B22" t="s">
        <v>14</v>
      </c>
      <c r="C22" t="s">
        <v>66</v>
      </c>
      <c r="D22" s="10">
        <v>300</v>
      </c>
      <c r="E22">
        <v>3176</v>
      </c>
      <c r="F22" s="11">
        <f t="shared" si="4"/>
        <v>435.50900000000001</v>
      </c>
      <c r="G22" s="11">
        <v>0.137125</v>
      </c>
      <c r="H22" s="10">
        <f>D22/E22</f>
        <v>9.4458438287153654E-2</v>
      </c>
    </row>
    <row r="23" spans="1:8" x14ac:dyDescent="0.25">
      <c r="A23" t="s">
        <v>14</v>
      </c>
      <c r="B23" t="s">
        <v>3</v>
      </c>
      <c r="C23" t="s">
        <v>102</v>
      </c>
      <c r="D23" s="10">
        <v>576.37</v>
      </c>
      <c r="E23">
        <v>5176</v>
      </c>
      <c r="F23" s="11">
        <v>277.31</v>
      </c>
      <c r="G23" s="11">
        <f t="shared" ref="G23" si="5">F23/E23</f>
        <v>5.3576120556414218E-2</v>
      </c>
      <c r="H23" s="10">
        <f t="shared" ref="H23" si="6">D23/E23</f>
        <v>0.11135432766615147</v>
      </c>
    </row>
    <row r="24" spans="1:8" x14ac:dyDescent="0.25">
      <c r="C24" s="1" t="s">
        <v>109</v>
      </c>
      <c r="D24" s="13">
        <f>SUM(D19:D23)</f>
        <v>1725.01563188</v>
      </c>
      <c r="E24" s="1">
        <f>SUM(E19:E23)</f>
        <v>16792</v>
      </c>
      <c r="F24" s="14">
        <f>SUM(F19:F23)</f>
        <v>1395.5130271640001</v>
      </c>
      <c r="G24" s="14">
        <f>F24/E24</f>
        <v>8.3105825819676044E-2</v>
      </c>
      <c r="H24" s="13">
        <f>D24/E24</f>
        <v>0.10272842019294902</v>
      </c>
    </row>
    <row r="25" spans="1:8" x14ac:dyDescent="0.25">
      <c r="D25" s="10"/>
      <c r="F25" s="11"/>
      <c r="G25" s="11"/>
      <c r="H25" s="10"/>
    </row>
    <row r="26" spans="1:8" x14ac:dyDescent="0.25">
      <c r="A26" s="1" t="s">
        <v>104</v>
      </c>
      <c r="D26" s="10"/>
      <c r="F26" s="11"/>
      <c r="G26" s="11"/>
      <c r="H26" s="10"/>
    </row>
    <row r="27" spans="1:8" x14ac:dyDescent="0.25">
      <c r="A27" t="s">
        <v>3</v>
      </c>
      <c r="B27" t="s">
        <v>106</v>
      </c>
      <c r="C27" t="s">
        <v>107</v>
      </c>
      <c r="D27" s="10">
        <v>20</v>
      </c>
      <c r="E27">
        <v>87.2</v>
      </c>
      <c r="F27" s="11">
        <f>G27*E27</f>
        <v>0.87723200000000001</v>
      </c>
      <c r="G27" s="11">
        <v>1.0059999999999999E-2</v>
      </c>
      <c r="H27" s="10">
        <f>D27/E28</f>
        <v>4.8100048100048103E-3</v>
      </c>
    </row>
    <row r="28" spans="1:8" x14ac:dyDescent="0.25">
      <c r="A28" t="s">
        <v>106</v>
      </c>
      <c r="B28" t="s">
        <v>83</v>
      </c>
      <c r="C28" t="s">
        <v>66</v>
      </c>
      <c r="D28" s="10">
        <v>521</v>
      </c>
      <c r="E28">
        <v>4158</v>
      </c>
      <c r="F28" s="11">
        <f t="shared" ref="F28:F31" si="7">G28*E28</f>
        <v>570.16575</v>
      </c>
      <c r="G28" s="11">
        <v>0.137125</v>
      </c>
      <c r="H28" s="10">
        <f>D28/E28</f>
        <v>0.1253006253006253</v>
      </c>
    </row>
    <row r="29" spans="1:8" x14ac:dyDescent="0.25">
      <c r="A29" t="s">
        <v>83</v>
      </c>
      <c r="B29" t="s">
        <v>108</v>
      </c>
      <c r="C29" t="s">
        <v>100</v>
      </c>
      <c r="D29" s="10">
        <f>H29*E29</f>
        <v>27.64563188</v>
      </c>
      <c r="E29">
        <v>1037</v>
      </c>
      <c r="F29" s="11">
        <f t="shared" si="7"/>
        <v>13.903652164</v>
      </c>
      <c r="G29" s="11">
        <v>1.3407572E-2</v>
      </c>
      <c r="H29" s="10">
        <v>2.6659240000000001E-2</v>
      </c>
    </row>
    <row r="30" spans="1:8" x14ac:dyDescent="0.25">
      <c r="A30" t="s">
        <v>46</v>
      </c>
      <c r="B30" t="s">
        <v>106</v>
      </c>
      <c r="C30" t="s">
        <v>66</v>
      </c>
      <c r="D30" s="10">
        <v>311</v>
      </c>
      <c r="E30">
        <v>4360</v>
      </c>
      <c r="F30" s="11">
        <f t="shared" si="7"/>
        <v>597.86500000000001</v>
      </c>
      <c r="G30" s="11">
        <v>0.137125</v>
      </c>
      <c r="H30" s="10">
        <f>D30/E30</f>
        <v>7.1330275229357795E-2</v>
      </c>
    </row>
    <row r="31" spans="1:8" x14ac:dyDescent="0.25">
      <c r="A31" t="s">
        <v>106</v>
      </c>
      <c r="B31" t="s">
        <v>3</v>
      </c>
      <c r="C31" t="s">
        <v>107</v>
      </c>
      <c r="D31" s="10">
        <v>20</v>
      </c>
      <c r="E31">
        <v>87.2</v>
      </c>
      <c r="F31" s="11">
        <f t="shared" si="7"/>
        <v>0.87723200000000001</v>
      </c>
      <c r="G31" s="11">
        <v>1.0059999999999999E-2</v>
      </c>
      <c r="H31" s="10">
        <f>D31/E31</f>
        <v>0.2293577981651376</v>
      </c>
    </row>
    <row r="32" spans="1:8" x14ac:dyDescent="0.25">
      <c r="C32" s="1" t="s">
        <v>109</v>
      </c>
      <c r="D32" s="15">
        <f>SUM(D27:D31)</f>
        <v>899.64563188</v>
      </c>
      <c r="E32" s="1">
        <f>SUM(E27:E31)</f>
        <v>9729.4000000000015</v>
      </c>
      <c r="F32" s="14">
        <f>SUM(F27:F31)</f>
        <v>1183.6888661640003</v>
      </c>
      <c r="G32" s="14">
        <f>F32/E32</f>
        <v>0.12166103420190352</v>
      </c>
      <c r="H32" s="15">
        <f>D32/E32</f>
        <v>9.2466712426254427E-2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135" workbookViewId="0">
      <selection activeCell="H23" sqref="H23"/>
    </sheetView>
  </sheetViews>
  <sheetFormatPr baseColWidth="10" defaultRowHeight="19" x14ac:dyDescent="0.25"/>
  <cols>
    <col min="1" max="1" width="13" bestFit="1" customWidth="1"/>
    <col min="2" max="3" width="11.28515625" bestFit="1" customWidth="1"/>
    <col min="4" max="4" width="13" bestFit="1" customWidth="1"/>
  </cols>
  <sheetData>
    <row r="1" spans="1:5" x14ac:dyDescent="0.25">
      <c r="B1" t="s">
        <v>110</v>
      </c>
      <c r="C1" t="s">
        <v>88</v>
      </c>
      <c r="D1" t="s">
        <v>103</v>
      </c>
      <c r="E1" t="s">
        <v>104</v>
      </c>
    </row>
    <row r="2" spans="1:5" x14ac:dyDescent="0.25">
      <c r="A2" t="s">
        <v>111</v>
      </c>
      <c r="B2" s="12">
        <f>Scenarios!D8</f>
        <v>2278.1</v>
      </c>
      <c r="C2" s="12">
        <f>Scenarios!D16</f>
        <v>2031.19</v>
      </c>
      <c r="D2" s="12">
        <f>Scenarios!D24</f>
        <v>1725.01563188</v>
      </c>
      <c r="E2" s="12">
        <f>Scenarios!D32</f>
        <v>899.64563188</v>
      </c>
    </row>
    <row r="3" spans="1:5" x14ac:dyDescent="0.25">
      <c r="A3" t="s">
        <v>69</v>
      </c>
      <c r="B3" s="17">
        <f>Scenarios!E8</f>
        <v>20649</v>
      </c>
      <c r="C3" s="17">
        <f>Scenarios!E16</f>
        <v>19120</v>
      </c>
      <c r="D3" s="17">
        <f>Scenarios!E24</f>
        <v>16792</v>
      </c>
      <c r="E3" s="17">
        <f>Scenarios!E32</f>
        <v>9729.4000000000015</v>
      </c>
    </row>
    <row r="4" spans="1:5" x14ac:dyDescent="0.25">
      <c r="A4" t="s">
        <v>112</v>
      </c>
      <c r="B4" s="16">
        <f>Scenarios!F8</f>
        <v>695.35</v>
      </c>
      <c r="C4" s="16">
        <f>Scenarios!F16</f>
        <v>1071.07</v>
      </c>
      <c r="D4" s="16">
        <f>Scenarios!F24</f>
        <v>1395.5130271640001</v>
      </c>
      <c r="E4" s="16">
        <f>Scenarios!F32</f>
        <v>1183.6888661640003</v>
      </c>
    </row>
    <row r="5" spans="1:5" x14ac:dyDescent="0.25">
      <c r="A5" t="s">
        <v>113</v>
      </c>
      <c r="B5" s="16">
        <f>Scenarios!G8</f>
        <v>3.3674754225386218E-2</v>
      </c>
      <c r="C5" s="16">
        <f>Scenarios!G16</f>
        <v>5.6018305439330542E-2</v>
      </c>
      <c r="D5" s="16">
        <f>Scenarios!G24</f>
        <v>8.3105825819676044E-2</v>
      </c>
      <c r="E5" s="16">
        <f>Scenarios!G32</f>
        <v>0.12166103420190352</v>
      </c>
    </row>
    <row r="6" spans="1:5" x14ac:dyDescent="0.25">
      <c r="A6" t="s">
        <v>114</v>
      </c>
      <c r="B6" s="12">
        <f>Scenarios!H8</f>
        <v>0.11032495520364181</v>
      </c>
      <c r="C6" s="12">
        <f>Scenarios!H16</f>
        <v>0.10623378661087866</v>
      </c>
      <c r="D6" s="12">
        <f>Scenarios!H24</f>
        <v>0.10272842019294902</v>
      </c>
      <c r="E6" s="12">
        <f>Scenarios!H32</f>
        <v>9.2466712426254427E-2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H36" zoomScale="118" workbookViewId="0">
      <selection activeCell="R62" sqref="R62"/>
    </sheetView>
  </sheetViews>
  <sheetFormatPr baseColWidth="10" defaultRowHeight="19" x14ac:dyDescent="0.25"/>
  <cols>
    <col min="1" max="1" width="16.28515625" bestFit="1" customWidth="1"/>
    <col min="2" max="3" width="11.28515625" bestFit="1" customWidth="1"/>
    <col min="4" max="4" width="13" bestFit="1" customWidth="1"/>
  </cols>
  <sheetData>
    <row r="1" spans="1:5" x14ac:dyDescent="0.25">
      <c r="B1" t="s">
        <v>110</v>
      </c>
      <c r="C1" t="s">
        <v>88</v>
      </c>
      <c r="D1" t="s">
        <v>103</v>
      </c>
      <c r="E1" t="s">
        <v>104</v>
      </c>
    </row>
    <row r="2" spans="1:5" x14ac:dyDescent="0.25">
      <c r="A2" t="s">
        <v>111</v>
      </c>
      <c r="B2" s="12">
        <f>Scenarios!D8</f>
        <v>2278.1</v>
      </c>
      <c r="C2" s="12">
        <f>Scenarios!D16</f>
        <v>2031.19</v>
      </c>
      <c r="D2" s="12">
        <f>Scenarios!D24</f>
        <v>1725.01563188</v>
      </c>
      <c r="E2" s="12">
        <f>Scenarios!D32</f>
        <v>899.64563188</v>
      </c>
    </row>
    <row r="3" spans="1:5" x14ac:dyDescent="0.25">
      <c r="A3" t="s">
        <v>69</v>
      </c>
      <c r="B3" s="17">
        <f>Scenarios!E8</f>
        <v>20649</v>
      </c>
      <c r="C3" s="17">
        <f>Scenarios!E16</f>
        <v>19120</v>
      </c>
      <c r="D3" s="17">
        <f>Scenarios!E24</f>
        <v>16792</v>
      </c>
      <c r="E3" s="17">
        <f>Scenarios!E32</f>
        <v>9729.4000000000015</v>
      </c>
    </row>
    <row r="4" spans="1:5" x14ac:dyDescent="0.25">
      <c r="A4" t="s">
        <v>112</v>
      </c>
      <c r="B4" s="16">
        <f>Scenarios!F8</f>
        <v>695.35</v>
      </c>
      <c r="C4" s="16">
        <f>Scenarios!F16</f>
        <v>1071.07</v>
      </c>
      <c r="D4" s="16">
        <f>Scenarios!F24</f>
        <v>1395.5130271640001</v>
      </c>
      <c r="E4" s="16">
        <f>Scenarios!F32</f>
        <v>1183.6888661640003</v>
      </c>
    </row>
    <row r="5" spans="1:5" x14ac:dyDescent="0.25">
      <c r="A5" t="s">
        <v>113</v>
      </c>
      <c r="B5" s="16">
        <f>Scenarios!G8</f>
        <v>3.3674754225386218E-2</v>
      </c>
      <c r="C5" s="16">
        <f>Scenarios!G16</f>
        <v>5.6018305439330542E-2</v>
      </c>
      <c r="D5" s="16">
        <f>Scenarios!G24</f>
        <v>8.3105825819676044E-2</v>
      </c>
      <c r="E5" s="16">
        <f>Scenarios!G32</f>
        <v>0.12166103420190352</v>
      </c>
    </row>
    <row r="6" spans="1:5" x14ac:dyDescent="0.25">
      <c r="A6" t="s">
        <v>114</v>
      </c>
      <c r="B6" s="12">
        <f>Scenarios!H8</f>
        <v>0.11032495520364181</v>
      </c>
      <c r="C6" s="12">
        <f>Scenarios!H16</f>
        <v>0.10623378661087866</v>
      </c>
      <c r="D6" s="12">
        <f>Scenarios!H24</f>
        <v>0.10272842019294902</v>
      </c>
      <c r="E6" s="12">
        <f>Scenarios!H32</f>
        <v>9.2466712426254427E-2</v>
      </c>
    </row>
    <row r="21" spans="1:4" x14ac:dyDescent="0.25">
      <c r="A21" t="s">
        <v>124</v>
      </c>
    </row>
    <row r="22" spans="1:4" x14ac:dyDescent="0.25">
      <c r="B22" t="s">
        <v>2</v>
      </c>
      <c r="C22" t="s">
        <v>111</v>
      </c>
      <c r="D22" t="s">
        <v>112</v>
      </c>
    </row>
    <row r="23" spans="1:4" x14ac:dyDescent="0.25">
      <c r="A23" t="s">
        <v>5</v>
      </c>
      <c r="B23" s="17">
        <v>5746</v>
      </c>
      <c r="C23" s="17">
        <v>709</v>
      </c>
      <c r="D23" s="17">
        <v>460.28</v>
      </c>
    </row>
    <row r="24" spans="1:4" x14ac:dyDescent="0.25">
      <c r="A24" t="s">
        <v>107</v>
      </c>
      <c r="B24" s="17">
        <v>8243</v>
      </c>
      <c r="C24" s="17">
        <v>707.98</v>
      </c>
      <c r="D24" s="17">
        <v>125.88</v>
      </c>
    </row>
    <row r="25" spans="1:4" x14ac:dyDescent="0.25">
      <c r="A25" t="s">
        <v>116</v>
      </c>
      <c r="B25" s="17">
        <v>287</v>
      </c>
      <c r="C25" s="17">
        <v>209.81</v>
      </c>
      <c r="D25" s="17">
        <v>10.6</v>
      </c>
    </row>
    <row r="26" spans="1:4" x14ac:dyDescent="0.25">
      <c r="A26" t="s">
        <v>119</v>
      </c>
      <c r="B26" s="17">
        <v>3176</v>
      </c>
      <c r="C26" s="17">
        <v>300</v>
      </c>
      <c r="D26" s="17">
        <v>435.51</v>
      </c>
    </row>
    <row r="27" spans="1:4" x14ac:dyDescent="0.25">
      <c r="A27" t="s">
        <v>117</v>
      </c>
      <c r="B27" s="17">
        <v>1065</v>
      </c>
      <c r="C27" s="17">
        <v>0</v>
      </c>
      <c r="D27" s="17">
        <v>0</v>
      </c>
    </row>
    <row r="28" spans="1:4" x14ac:dyDescent="0.25">
      <c r="A28" t="s">
        <v>118</v>
      </c>
      <c r="B28" s="17">
        <v>538</v>
      </c>
      <c r="C28" s="17">
        <v>91.92</v>
      </c>
      <c r="D28" s="17">
        <v>38.35</v>
      </c>
    </row>
    <row r="29" spans="1:4" x14ac:dyDescent="0.25">
      <c r="A29" t="s">
        <v>109</v>
      </c>
      <c r="B29" s="18">
        <f>SUM(B23:B28)</f>
        <v>19055</v>
      </c>
      <c r="C29" s="18">
        <f>SUM(C23:C28)</f>
        <v>2018.71</v>
      </c>
      <c r="D29" s="18">
        <f>SUM(D23:D28)</f>
        <v>1070.6199999999999</v>
      </c>
    </row>
    <row r="31" spans="1:4" x14ac:dyDescent="0.25">
      <c r="A31" t="s">
        <v>125</v>
      </c>
    </row>
    <row r="32" spans="1:4" x14ac:dyDescent="0.25">
      <c r="B32" t="s">
        <v>2</v>
      </c>
      <c r="C32" t="s">
        <v>111</v>
      </c>
      <c r="D32" t="s">
        <v>112</v>
      </c>
    </row>
    <row r="33" spans="1:10" x14ac:dyDescent="0.25">
      <c r="A33" t="s">
        <v>5</v>
      </c>
      <c r="B33" s="17">
        <v>5746</v>
      </c>
      <c r="C33" s="17">
        <v>709</v>
      </c>
      <c r="D33" s="17">
        <v>460.28</v>
      </c>
    </row>
    <row r="34" spans="1:10" x14ac:dyDescent="0.25">
      <c r="A34" t="s">
        <v>107</v>
      </c>
      <c r="B34" s="17">
        <f>8243+3697</f>
        <v>11940</v>
      </c>
      <c r="C34" s="17">
        <f>708+303.34</f>
        <v>1011.3399999999999</v>
      </c>
      <c r="D34" s="17">
        <f>125.88+45.84</f>
        <v>171.72</v>
      </c>
    </row>
    <row r="35" spans="1:10" x14ac:dyDescent="0.25">
      <c r="A35" t="s">
        <v>116</v>
      </c>
      <c r="B35" s="17">
        <f>287+287</f>
        <v>574</v>
      </c>
      <c r="C35" s="17">
        <f>209.81+209.81</f>
        <v>419.62</v>
      </c>
      <c r="D35" s="17">
        <f>10.6+10.6</f>
        <v>21.2</v>
      </c>
    </row>
    <row r="36" spans="1:10" x14ac:dyDescent="0.25">
      <c r="A36" t="s">
        <v>119</v>
      </c>
      <c r="B36" s="17">
        <v>0</v>
      </c>
      <c r="C36" s="17">
        <v>0</v>
      </c>
      <c r="D36" s="17">
        <v>0</v>
      </c>
    </row>
    <row r="37" spans="1:10" x14ac:dyDescent="0.25">
      <c r="A37" t="s">
        <v>117</v>
      </c>
      <c r="B37" s="17">
        <v>1065</v>
      </c>
      <c r="C37" s="17">
        <v>0</v>
      </c>
      <c r="D37" s="17">
        <v>0</v>
      </c>
    </row>
    <row r="38" spans="1:10" x14ac:dyDescent="0.25">
      <c r="A38" t="s">
        <v>118</v>
      </c>
      <c r="B38" s="17">
        <f>538+85</f>
        <v>623</v>
      </c>
      <c r="C38" s="17">
        <f>91.92+33.76</f>
        <v>125.68</v>
      </c>
      <c r="D38" s="17">
        <f>38.35+3.35</f>
        <v>41.7</v>
      </c>
    </row>
    <row r="39" spans="1:10" x14ac:dyDescent="0.25">
      <c r="A39" t="s">
        <v>109</v>
      </c>
      <c r="B39" s="18">
        <f>SUM(B33:B38)</f>
        <v>19948</v>
      </c>
      <c r="C39" s="18">
        <f>SUM(C33:C38)</f>
        <v>2265.64</v>
      </c>
      <c r="D39" s="18">
        <f>SUM(D33:D38)</f>
        <v>694.90000000000009</v>
      </c>
      <c r="F39" t="s">
        <v>128</v>
      </c>
    </row>
    <row r="40" spans="1:10" x14ac:dyDescent="0.25">
      <c r="G40" t="s">
        <v>110</v>
      </c>
      <c r="H40" t="s">
        <v>88</v>
      </c>
      <c r="I40" t="s">
        <v>130</v>
      </c>
      <c r="J40" t="s">
        <v>131</v>
      </c>
    </row>
    <row r="41" spans="1:10" x14ac:dyDescent="0.25">
      <c r="A41" t="s">
        <v>126</v>
      </c>
      <c r="F41" t="s">
        <v>5</v>
      </c>
      <c r="G41" s="17">
        <v>5746</v>
      </c>
      <c r="H41" s="17">
        <v>5746</v>
      </c>
      <c r="I41" s="17">
        <v>5746</v>
      </c>
      <c r="J41" s="17">
        <v>0</v>
      </c>
    </row>
    <row r="42" spans="1:10" x14ac:dyDescent="0.25">
      <c r="B42" t="s">
        <v>69</v>
      </c>
      <c r="C42" t="s">
        <v>111</v>
      </c>
      <c r="D42" t="s">
        <v>112</v>
      </c>
      <c r="F42" t="s">
        <v>107</v>
      </c>
      <c r="G42" s="17">
        <f>8243+3697</f>
        <v>11940</v>
      </c>
      <c r="H42" s="17">
        <v>8243</v>
      </c>
      <c r="I42" s="17">
        <f>3894+225</f>
        <v>4119</v>
      </c>
      <c r="J42" s="17">
        <f>174.4+225</f>
        <v>399.4</v>
      </c>
    </row>
    <row r="43" spans="1:10" x14ac:dyDescent="0.25">
      <c r="A43" t="s">
        <v>5</v>
      </c>
      <c r="B43">
        <v>5746</v>
      </c>
      <c r="C43">
        <v>709</v>
      </c>
      <c r="D43">
        <v>460</v>
      </c>
      <c r="F43" t="s">
        <v>116</v>
      </c>
      <c r="G43" s="17">
        <f>287+287</f>
        <v>574</v>
      </c>
      <c r="H43" s="17">
        <v>287</v>
      </c>
      <c r="I43" s="17">
        <v>0</v>
      </c>
      <c r="J43" s="17">
        <v>0</v>
      </c>
    </row>
    <row r="44" spans="1:10" x14ac:dyDescent="0.25">
      <c r="A44" t="s">
        <v>107</v>
      </c>
      <c r="B44">
        <f>3894+225</f>
        <v>4119</v>
      </c>
      <c r="C44">
        <f>386.37+27.65</f>
        <v>414.02</v>
      </c>
      <c r="D44">
        <f>82.8+13.9</f>
        <v>96.7</v>
      </c>
      <c r="F44" t="s">
        <v>119</v>
      </c>
      <c r="G44" s="17">
        <v>0</v>
      </c>
      <c r="H44" s="17">
        <v>3176</v>
      </c>
      <c r="I44" s="17">
        <v>6115</v>
      </c>
      <c r="J44" s="17">
        <v>8518</v>
      </c>
    </row>
    <row r="45" spans="1:10" x14ac:dyDescent="0.25">
      <c r="A45" t="s">
        <v>116</v>
      </c>
      <c r="B45">
        <v>0</v>
      </c>
      <c r="C45">
        <v>0</v>
      </c>
      <c r="D45">
        <v>0</v>
      </c>
      <c r="F45" t="s">
        <v>117</v>
      </c>
      <c r="G45" s="17">
        <v>1065</v>
      </c>
      <c r="H45" s="17">
        <v>1065</v>
      </c>
      <c r="I45" s="17">
        <v>812</v>
      </c>
      <c r="J45" s="17">
        <v>812</v>
      </c>
    </row>
    <row r="46" spans="1:10" x14ac:dyDescent="0.25">
      <c r="A46" t="s">
        <v>119</v>
      </c>
      <c r="B46">
        <v>6115</v>
      </c>
      <c r="C46">
        <v>602</v>
      </c>
      <c r="D46">
        <v>838.52</v>
      </c>
      <c r="F46" t="s">
        <v>118</v>
      </c>
      <c r="G46" s="17">
        <f>538+85</f>
        <v>623</v>
      </c>
      <c r="H46" s="17">
        <v>538</v>
      </c>
      <c r="I46" s="17">
        <v>0</v>
      </c>
      <c r="J46" s="17">
        <v>0</v>
      </c>
    </row>
    <row r="47" spans="1:10" x14ac:dyDescent="0.25">
      <c r="A47" t="s">
        <v>117</v>
      </c>
      <c r="B47">
        <v>812</v>
      </c>
      <c r="C47">
        <v>0</v>
      </c>
      <c r="D47">
        <v>0</v>
      </c>
      <c r="F47" t="s">
        <v>109</v>
      </c>
      <c r="G47" s="18">
        <f>SUM(G41:G46)</f>
        <v>19948</v>
      </c>
      <c r="H47" s="18">
        <f>SUM(H41:H46)</f>
        <v>19055</v>
      </c>
      <c r="I47">
        <f>SUM(I41:I46)</f>
        <v>16792</v>
      </c>
      <c r="J47">
        <f>SUM(J41:J46)</f>
        <v>9729.4</v>
      </c>
    </row>
    <row r="48" spans="1:10" x14ac:dyDescent="0.25">
      <c r="A48" t="s">
        <v>118</v>
      </c>
      <c r="B48">
        <v>0</v>
      </c>
      <c r="C48">
        <v>0</v>
      </c>
      <c r="D48">
        <v>0</v>
      </c>
    </row>
    <row r="49" spans="1:10" x14ac:dyDescent="0.25">
      <c r="A49" t="s">
        <v>109</v>
      </c>
      <c r="B49">
        <f>SUM(B43:B48)</f>
        <v>16792</v>
      </c>
      <c r="C49">
        <f t="shared" ref="C49:D49" si="0">SUM(C43:C48)</f>
        <v>1725.02</v>
      </c>
      <c r="D49">
        <f t="shared" si="0"/>
        <v>1395.22</v>
      </c>
    </row>
    <row r="50" spans="1:10" x14ac:dyDescent="0.25">
      <c r="F50" t="s">
        <v>115</v>
      </c>
    </row>
    <row r="51" spans="1:10" x14ac:dyDescent="0.25">
      <c r="A51" t="s">
        <v>127</v>
      </c>
      <c r="G51" t="s">
        <v>110</v>
      </c>
      <c r="H51" t="s">
        <v>88</v>
      </c>
      <c r="I51" t="s">
        <v>130</v>
      </c>
      <c r="J51" t="s">
        <v>131</v>
      </c>
    </row>
    <row r="52" spans="1:10" x14ac:dyDescent="0.25">
      <c r="B52" t="s">
        <v>69</v>
      </c>
      <c r="C52" t="s">
        <v>111</v>
      </c>
      <c r="D52" t="s">
        <v>112</v>
      </c>
      <c r="F52" t="s">
        <v>5</v>
      </c>
      <c r="G52" s="17">
        <v>709</v>
      </c>
      <c r="H52" s="17">
        <v>709</v>
      </c>
      <c r="I52">
        <v>709</v>
      </c>
      <c r="J52">
        <v>0</v>
      </c>
    </row>
    <row r="53" spans="1:10" x14ac:dyDescent="0.25">
      <c r="A53" t="s">
        <v>5</v>
      </c>
      <c r="B53">
        <v>0</v>
      </c>
      <c r="C53">
        <v>0</v>
      </c>
      <c r="D53">
        <v>0</v>
      </c>
      <c r="F53" t="s">
        <v>107</v>
      </c>
      <c r="G53" s="17">
        <f>708+303.34</f>
        <v>1011.3399999999999</v>
      </c>
      <c r="H53" s="17">
        <v>707.98</v>
      </c>
      <c r="I53">
        <f>386.37+27.65</f>
        <v>414.02</v>
      </c>
      <c r="J53">
        <f>40+27.65</f>
        <v>67.650000000000006</v>
      </c>
    </row>
    <row r="54" spans="1:10" x14ac:dyDescent="0.25">
      <c r="A54" t="s">
        <v>107</v>
      </c>
      <c r="B54">
        <f>174.4+225</f>
        <v>399.4</v>
      </c>
      <c r="C54">
        <f>40+27.65</f>
        <v>67.650000000000006</v>
      </c>
      <c r="D54">
        <f>1.75+13.9</f>
        <v>15.65</v>
      </c>
      <c r="F54" t="s">
        <v>116</v>
      </c>
      <c r="G54" s="17">
        <f>209.81+209.81</f>
        <v>419.62</v>
      </c>
      <c r="H54" s="17">
        <v>209.81</v>
      </c>
      <c r="I54">
        <v>0</v>
      </c>
      <c r="J54">
        <v>0</v>
      </c>
    </row>
    <row r="55" spans="1:10" x14ac:dyDescent="0.25">
      <c r="A55" t="s">
        <v>116</v>
      </c>
      <c r="B55">
        <v>0</v>
      </c>
      <c r="C55">
        <v>0</v>
      </c>
      <c r="D55">
        <v>0</v>
      </c>
      <c r="F55" t="s">
        <v>119</v>
      </c>
      <c r="G55" s="17">
        <v>0</v>
      </c>
      <c r="H55" s="17">
        <v>300</v>
      </c>
      <c r="I55">
        <v>602</v>
      </c>
      <c r="J55">
        <v>832</v>
      </c>
    </row>
    <row r="56" spans="1:10" x14ac:dyDescent="0.25">
      <c r="A56" t="s">
        <v>119</v>
      </c>
      <c r="B56">
        <v>8518</v>
      </c>
      <c r="C56">
        <v>832</v>
      </c>
      <c r="D56">
        <v>1168.03</v>
      </c>
      <c r="F56" t="s">
        <v>117</v>
      </c>
      <c r="G56" s="17">
        <v>0</v>
      </c>
      <c r="H56" s="17">
        <v>0</v>
      </c>
      <c r="I56">
        <v>0</v>
      </c>
      <c r="J56">
        <v>0</v>
      </c>
    </row>
    <row r="57" spans="1:10" x14ac:dyDescent="0.25">
      <c r="A57" t="s">
        <v>117</v>
      </c>
      <c r="B57">
        <v>812</v>
      </c>
      <c r="C57">
        <v>0</v>
      </c>
      <c r="D57">
        <v>0</v>
      </c>
      <c r="F57" t="s">
        <v>118</v>
      </c>
      <c r="G57" s="17">
        <f>91.92+33.76</f>
        <v>125.68</v>
      </c>
      <c r="H57" s="17">
        <v>91.92</v>
      </c>
      <c r="I57">
        <v>0</v>
      </c>
      <c r="J57">
        <v>0</v>
      </c>
    </row>
    <row r="58" spans="1:10" x14ac:dyDescent="0.25">
      <c r="A58" t="s">
        <v>118</v>
      </c>
      <c r="B58">
        <v>0</v>
      </c>
      <c r="C58">
        <v>0</v>
      </c>
      <c r="D58">
        <v>0</v>
      </c>
      <c r="F58" t="s">
        <v>109</v>
      </c>
      <c r="G58" s="18">
        <f>SUM(G52:G57)</f>
        <v>2265.64</v>
      </c>
      <c r="H58" s="18">
        <f>SUM(H52:H57)</f>
        <v>2018.71</v>
      </c>
      <c r="I58">
        <f t="shared" ref="I58" si="1">SUM(I52:I57)</f>
        <v>1725.02</v>
      </c>
      <c r="J58">
        <f t="shared" ref="J58" si="2">SUM(J52:J57)</f>
        <v>899.65</v>
      </c>
    </row>
    <row r="59" spans="1:10" x14ac:dyDescent="0.25">
      <c r="A59" t="s">
        <v>109</v>
      </c>
      <c r="B59">
        <f>SUM(B53:B58)</f>
        <v>9729.4</v>
      </c>
      <c r="C59">
        <f t="shared" ref="C59:D59" si="3">SUM(C53:C58)</f>
        <v>899.65</v>
      </c>
      <c r="D59">
        <f t="shared" si="3"/>
        <v>1183.68</v>
      </c>
    </row>
    <row r="61" spans="1:10" x14ac:dyDescent="0.25">
      <c r="F61" t="s">
        <v>129</v>
      </c>
    </row>
    <row r="62" spans="1:10" x14ac:dyDescent="0.25">
      <c r="G62" t="s">
        <v>110</v>
      </c>
      <c r="H62" t="s">
        <v>88</v>
      </c>
      <c r="I62" t="s">
        <v>130</v>
      </c>
      <c r="J62" t="s">
        <v>131</v>
      </c>
    </row>
    <row r="63" spans="1:10" x14ac:dyDescent="0.25">
      <c r="F63" t="s">
        <v>5</v>
      </c>
      <c r="G63" s="17">
        <v>460.28</v>
      </c>
      <c r="H63" s="17">
        <v>460.28</v>
      </c>
      <c r="I63">
        <v>460</v>
      </c>
      <c r="J63">
        <v>0</v>
      </c>
    </row>
    <row r="64" spans="1:10" x14ac:dyDescent="0.25">
      <c r="F64" t="s">
        <v>107</v>
      </c>
      <c r="G64" s="17">
        <f>125.88+45.84</f>
        <v>171.72</v>
      </c>
      <c r="H64" s="17">
        <v>125.88</v>
      </c>
      <c r="I64">
        <f>82.8+13.9</f>
        <v>96.7</v>
      </c>
      <c r="J64">
        <f>1.75+13.9</f>
        <v>15.65</v>
      </c>
    </row>
    <row r="65" spans="6:10" x14ac:dyDescent="0.25">
      <c r="F65" t="s">
        <v>116</v>
      </c>
      <c r="G65" s="17">
        <f>10.6+10.6</f>
        <v>21.2</v>
      </c>
      <c r="H65" s="17">
        <v>10.6</v>
      </c>
      <c r="I65">
        <v>0</v>
      </c>
      <c r="J65">
        <v>0</v>
      </c>
    </row>
    <row r="66" spans="6:10" x14ac:dyDescent="0.25">
      <c r="F66" t="s">
        <v>119</v>
      </c>
      <c r="G66" s="17">
        <v>0</v>
      </c>
      <c r="H66" s="17">
        <v>435.51</v>
      </c>
      <c r="I66">
        <v>838.52</v>
      </c>
      <c r="J66">
        <v>1168.03</v>
      </c>
    </row>
    <row r="67" spans="6:10" x14ac:dyDescent="0.25">
      <c r="F67" t="s">
        <v>117</v>
      </c>
      <c r="G67" s="17">
        <v>0</v>
      </c>
      <c r="H67" s="17">
        <v>0</v>
      </c>
      <c r="I67">
        <v>0</v>
      </c>
      <c r="J67">
        <v>0</v>
      </c>
    </row>
    <row r="68" spans="6:10" x14ac:dyDescent="0.25">
      <c r="F68" t="s">
        <v>118</v>
      </c>
      <c r="G68" s="17">
        <f>38.35+3.35</f>
        <v>41.7</v>
      </c>
      <c r="H68" s="17">
        <v>38.35</v>
      </c>
      <c r="I68">
        <v>0</v>
      </c>
      <c r="J68">
        <v>0</v>
      </c>
    </row>
    <row r="69" spans="6:10" x14ac:dyDescent="0.25">
      <c r="F69" t="s">
        <v>109</v>
      </c>
      <c r="G69" s="18">
        <f>SUM(G63:G68)</f>
        <v>694.90000000000009</v>
      </c>
      <c r="H69" s="18">
        <f>SUM(H63:H68)</f>
        <v>1070.6199999999999</v>
      </c>
      <c r="I69">
        <f t="shared" ref="I69" si="4">SUM(I63:I68)</f>
        <v>1395.22</v>
      </c>
      <c r="J69">
        <f t="shared" ref="J69" si="5">SUM(J63:J68)</f>
        <v>1183.68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Detailed</vt:lpstr>
      <vt:lpstr>Scenarios</vt:lpstr>
      <vt:lpstr>Charts</vt:lpstr>
      <vt:lpstr>Charts - Detailed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Nabi</dc:creator>
  <cp:lastModifiedBy>Sam Nabi</cp:lastModifiedBy>
  <dcterms:created xsi:type="dcterms:W3CDTF">2017-07-20T13:12:01Z</dcterms:created>
  <dcterms:modified xsi:type="dcterms:W3CDTF">2017-07-23T13:33:40Z</dcterms:modified>
</cp:coreProperties>
</file>